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328\Desktop\MatFin2021\"/>
    </mc:Choice>
  </mc:AlternateContent>
  <xr:revisionPtr revIDLastSave="0" documentId="13_ncr:1_{C8775814-5679-48D3-9D90-5F1AD85922D4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L16" i="1"/>
  <c r="L18" i="1"/>
  <c r="L19" i="1"/>
  <c r="I20" i="1"/>
  <c r="G22" i="1" s="1"/>
  <c r="E23" i="1" s="1"/>
  <c r="C21" i="1"/>
  <c r="E21" i="1"/>
  <c r="H21" i="1"/>
  <c r="C22" i="1"/>
  <c r="C23" i="1" s="1"/>
  <c r="C24" i="1" s="1"/>
  <c r="J33" i="1"/>
  <c r="J51" i="1" s="1"/>
  <c r="J35" i="1"/>
  <c r="J39" i="1"/>
  <c r="J41" i="1" s="1"/>
  <c r="J42" i="1" s="1"/>
  <c r="M46" i="1"/>
  <c r="L49" i="1"/>
  <c r="N49" i="1"/>
  <c r="M51" i="1"/>
  <c r="J52" i="1" s="1"/>
  <c r="H53" i="1" s="1"/>
  <c r="H54" i="1" s="1"/>
  <c r="J62" i="1"/>
  <c r="J64" i="1"/>
  <c r="L74" i="1" s="1"/>
  <c r="J66" i="1"/>
  <c r="J78" i="1" s="1"/>
  <c r="J68" i="1"/>
  <c r="H81" i="1" s="1"/>
  <c r="G82" i="1" s="1"/>
  <c r="H78" i="1"/>
  <c r="H80" i="1"/>
  <c r="I82" i="1"/>
  <c r="J84" i="1"/>
  <c r="J90" i="1"/>
  <c r="J92" i="1"/>
  <c r="C105" i="1" s="1"/>
  <c r="E108" i="1" s="1"/>
  <c r="L101" i="1"/>
  <c r="L103" i="1"/>
  <c r="J109" i="1" s="1"/>
  <c r="H104" i="1"/>
  <c r="I104" i="1"/>
  <c r="E105" i="1"/>
  <c r="I105" i="1"/>
  <c r="B106" i="1"/>
  <c r="H107" i="1"/>
  <c r="I108" i="1"/>
  <c r="E109" i="1"/>
  <c r="G109" i="1"/>
  <c r="G110" i="1"/>
  <c r="D111" i="1"/>
  <c r="E111" i="1"/>
  <c r="H112" i="1"/>
  <c r="F113" i="1"/>
  <c r="H113" i="1"/>
  <c r="K114" i="1"/>
  <c r="E115" i="1"/>
  <c r="G115" i="1"/>
  <c r="H115" i="1"/>
  <c r="J115" i="1"/>
  <c r="I116" i="1"/>
  <c r="D117" i="1"/>
  <c r="I117" i="1"/>
  <c r="L117" i="1"/>
  <c r="I118" i="1"/>
  <c r="I119" i="1"/>
  <c r="I120" i="1"/>
  <c r="J120" i="1"/>
  <c r="C121" i="1"/>
  <c r="D123" i="1"/>
  <c r="L100" i="1" l="1"/>
  <c r="J81" i="1"/>
  <c r="L75" i="1"/>
  <c r="E81" i="1"/>
  <c r="E49" i="1"/>
  <c r="E83" i="1"/>
  <c r="H51" i="1"/>
  <c r="H52" i="1" s="1"/>
  <c r="E52" i="1"/>
  <c r="M45" i="1"/>
  <c r="C116" i="1"/>
  <c r="C120" i="1"/>
  <c r="C118" i="1"/>
  <c r="C110" i="1"/>
  <c r="C112" i="1"/>
  <c r="C114" i="1"/>
  <c r="E123" i="1"/>
  <c r="F123" i="1" s="1"/>
  <c r="C122" i="1"/>
  <c r="J99" i="1"/>
  <c r="I79" i="1"/>
  <c r="I77" i="1"/>
  <c r="J72" i="1"/>
  <c r="L84" i="1" s="1"/>
  <c r="E82" i="1"/>
  <c r="J80" i="1"/>
  <c r="L76" i="1"/>
  <c r="J71" i="1"/>
  <c r="H84" i="1" s="1"/>
  <c r="E51" i="1"/>
  <c r="H49" i="1"/>
  <c r="M44" i="1"/>
  <c r="J49" i="1" s="1"/>
  <c r="E80" i="1"/>
  <c r="E78" i="1"/>
  <c r="E53" i="1" l="1"/>
  <c r="E54" i="1" s="1"/>
  <c r="E55" i="1" s="1"/>
</calcChain>
</file>

<file path=xl/sharedStrings.xml><?xml version="1.0" encoding="utf-8"?>
<sst xmlns="http://schemas.openxmlformats.org/spreadsheetml/2006/main" count="181" uniqueCount="105">
  <si>
    <t>Juros Compostos</t>
  </si>
  <si>
    <t>Cálculos que  envolvem prestações mensais fixas</t>
  </si>
  <si>
    <t>% ao mês</t>
  </si>
  <si>
    <t xml:space="preserve"> Aguarde o Valor da Parcela =&gt;</t>
  </si>
  <si>
    <t>Coloque a Taxa  mensal =&gt;</t>
  </si>
  <si>
    <t>Coloque o Valor máximo da Parcela =&gt;</t>
  </si>
  <si>
    <t>por mês</t>
  </si>
  <si>
    <t xml:space="preserve"> Aguarde o Número de Parcelas=&gt;</t>
  </si>
  <si>
    <t xml:space="preserve"> Aguarde o Valor  exato da Parcela =&gt;</t>
  </si>
  <si>
    <t>Coloque o Capital Inicial total=&gt;</t>
  </si>
  <si>
    <t>Coloque a entrada =&gt;</t>
  </si>
  <si>
    <t>Coloque o Valor  da Parcela =&gt;</t>
  </si>
  <si>
    <t>Coloque o número de Parcelas =&gt;</t>
  </si>
  <si>
    <t>meses</t>
  </si>
  <si>
    <t>( sem  contar a entrada )</t>
  </si>
  <si>
    <t xml:space="preserve"> Aguarde a taxa mensal=&gt;</t>
  </si>
  <si>
    <t xml:space="preserve"> ao mês</t>
  </si>
  <si>
    <t>Coloque o valor da entrada=&gt;</t>
  </si>
  <si>
    <t>Coloque de cada parcela =&gt;</t>
  </si>
  <si>
    <t>&lt;=Resultado</t>
  </si>
  <si>
    <t>n</t>
  </si>
  <si>
    <t>Va=P[ 1 - (1+i)  ] / i</t>
  </si>
  <si>
    <t>1)</t>
  </si>
  <si>
    <t>2)</t>
  </si>
  <si>
    <t>3)</t>
  </si>
  <si>
    <t>x</t>
  </si>
  <si>
    <t>P  =</t>
  </si>
  <si>
    <t>/</t>
  </si>
  <si>
    <t>]</t>
  </si>
  <si>
    <t>p  =</t>
  </si>
  <si>
    <t>parcelas</t>
  </si>
  <si>
    <t>/  [   1   -</t>
  </si>
  <si>
    <t>=&gt;</t>
  </si>
  <si>
    <t>P</t>
  </si>
  <si>
    <t xml:space="preserve">Fórmula utilizada </t>
  </si>
  <si>
    <r>
      <t xml:space="preserve">- </t>
    </r>
    <r>
      <rPr>
        <b/>
        <sz val="9"/>
        <color indexed="55"/>
        <rFont val="Arial"/>
        <family val="2"/>
      </rPr>
      <t>n</t>
    </r>
  </si>
  <si>
    <r>
      <t xml:space="preserve"> Va = P</t>
    </r>
    <r>
      <rPr>
        <b/>
        <sz val="14"/>
        <color indexed="55"/>
        <rFont val="Times New Roman"/>
        <family val="1"/>
      </rPr>
      <t>[</t>
    </r>
    <r>
      <rPr>
        <b/>
        <sz val="12"/>
        <color indexed="55"/>
        <rFont val="Times New Roman"/>
        <family val="1"/>
      </rPr>
      <t xml:space="preserve"> 1 </t>
    </r>
    <r>
      <rPr>
        <b/>
        <sz val="14"/>
        <color indexed="55"/>
        <rFont val="Times New Roman"/>
        <family val="1"/>
      </rPr>
      <t>-</t>
    </r>
    <r>
      <rPr>
        <b/>
        <sz val="12"/>
        <color indexed="55"/>
        <rFont val="Times New Roman"/>
        <family val="1"/>
      </rPr>
      <t xml:space="preserve"> (1+i)    </t>
    </r>
    <r>
      <rPr>
        <b/>
        <sz val="14"/>
        <color indexed="55"/>
        <rFont val="Times New Roman"/>
        <family val="1"/>
      </rPr>
      <t>]</t>
    </r>
    <r>
      <rPr>
        <b/>
        <sz val="12"/>
        <color indexed="55"/>
        <rFont val="Times New Roman"/>
        <family val="1"/>
      </rPr>
      <t xml:space="preserve"> / i</t>
    </r>
  </si>
  <si>
    <t xml:space="preserve">     Coloque a Taxa  Mensal =&gt;</t>
  </si>
  <si>
    <t xml:space="preserve">     Coloque o Número de Parcelas =&gt;</t>
  </si>
  <si>
    <t>Obs.: Complete somente as células de fundo branco</t>
  </si>
  <si>
    <t xml:space="preserve"> -n</t>
  </si>
  <si>
    <t>Valor que pode pagar por mês</t>
  </si>
  <si>
    <t xml:space="preserve">     Coloque o valor da entrada  ou zero=&gt;</t>
  </si>
  <si>
    <t>Coloque o Capital Inicial  ou valor à vista=&gt;</t>
  </si>
  <si>
    <t>Coloque o valor da entrada  ou digite  0 =&gt;</t>
  </si>
  <si>
    <r>
      <t xml:space="preserve">     </t>
    </r>
    <r>
      <rPr>
        <b/>
        <sz val="12"/>
        <color indexed="12"/>
        <rFont val="Arial"/>
        <family val="2"/>
      </rPr>
      <t xml:space="preserve">- </t>
    </r>
    <r>
      <rPr>
        <b/>
        <sz val="9"/>
        <color indexed="12"/>
        <rFont val="Arial"/>
        <family val="2"/>
      </rPr>
      <t>n</t>
    </r>
  </si>
  <si>
    <r>
      <t>P</t>
    </r>
    <r>
      <rPr>
        <b/>
        <sz val="12"/>
        <color indexed="8"/>
        <rFont val="Times New Roman"/>
        <family val="1"/>
      </rPr>
      <t>=</t>
    </r>
    <r>
      <rPr>
        <b/>
        <sz val="12"/>
        <color indexed="14"/>
        <rFont val="Times New Roman"/>
        <family val="1"/>
      </rPr>
      <t>Va</t>
    </r>
    <r>
      <rPr>
        <b/>
        <sz val="6"/>
        <color indexed="8"/>
        <rFont val="Times New Roman"/>
        <family val="1"/>
      </rPr>
      <t>x</t>
    </r>
    <r>
      <rPr>
        <b/>
        <sz val="12"/>
        <color indexed="17"/>
        <rFont val="Times New Roman"/>
        <family val="1"/>
      </rPr>
      <t>i</t>
    </r>
    <r>
      <rPr>
        <b/>
        <sz val="12"/>
        <color indexed="8"/>
        <rFont val="Times New Roman"/>
        <family val="1"/>
      </rPr>
      <t>/[</t>
    </r>
    <r>
      <rPr>
        <b/>
        <sz val="12"/>
        <color indexed="55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1</t>
    </r>
    <r>
      <rPr>
        <b/>
        <sz val="12"/>
        <color indexed="55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- (1+</t>
    </r>
    <r>
      <rPr>
        <b/>
        <sz val="12"/>
        <color indexed="17"/>
        <rFont val="Times New Roman"/>
        <family val="1"/>
      </rPr>
      <t>i</t>
    </r>
    <r>
      <rPr>
        <b/>
        <sz val="12"/>
        <color indexed="8"/>
        <rFont val="Times New Roman"/>
        <family val="1"/>
      </rPr>
      <t>)  ]</t>
    </r>
  </si>
  <si>
    <r>
      <t xml:space="preserve">P  </t>
    </r>
    <r>
      <rPr>
        <b/>
        <sz val="10"/>
        <color indexed="8"/>
        <rFont val="Arial"/>
        <family val="2"/>
      </rPr>
      <t xml:space="preserve"> =</t>
    </r>
  </si>
  <si>
    <r>
      <t xml:space="preserve"> </t>
    </r>
    <r>
      <rPr>
        <b/>
        <sz val="14"/>
        <color indexed="8"/>
        <rFont val="Arial"/>
        <family val="2"/>
      </rPr>
      <t>/</t>
    </r>
    <r>
      <rPr>
        <b/>
        <sz val="10"/>
        <color indexed="8"/>
        <rFont val="Arial"/>
        <family val="2"/>
      </rPr>
      <t xml:space="preserve"> </t>
    </r>
    <r>
      <rPr>
        <b/>
        <sz val="14"/>
        <color indexed="8"/>
        <rFont val="Arial"/>
        <family val="2"/>
      </rPr>
      <t>[</t>
    </r>
    <r>
      <rPr>
        <b/>
        <sz val="10"/>
        <color indexed="8"/>
        <rFont val="Arial"/>
        <family val="2"/>
      </rPr>
      <t xml:space="preserve"> 1 </t>
    </r>
    <r>
      <rPr>
        <b/>
        <sz val="14"/>
        <color indexed="8"/>
        <rFont val="Arial"/>
        <family val="2"/>
      </rPr>
      <t xml:space="preserve">- </t>
    </r>
    <r>
      <rPr>
        <b/>
        <sz val="10"/>
        <color indexed="8"/>
        <rFont val="Arial"/>
        <family val="2"/>
      </rPr>
      <t>(   1  +</t>
    </r>
  </si>
  <si>
    <r>
      <t xml:space="preserve">)     </t>
    </r>
    <r>
      <rPr>
        <b/>
        <sz val="14"/>
        <color indexed="8"/>
        <rFont val="Arial"/>
        <family val="2"/>
      </rPr>
      <t>]</t>
    </r>
  </si>
  <si>
    <r>
      <t>Va</t>
    </r>
    <r>
      <rPr>
        <b/>
        <sz val="9"/>
        <color indexed="55"/>
        <rFont val="Arial"/>
        <family val="2"/>
      </rPr>
      <t xml:space="preserve">=Valor Atual ou </t>
    </r>
    <r>
      <rPr>
        <b/>
        <sz val="9"/>
        <color indexed="53"/>
        <rFont val="Arial"/>
        <family val="2"/>
      </rPr>
      <t>Valor à vista</t>
    </r>
    <r>
      <rPr>
        <b/>
        <sz val="9"/>
        <color indexed="55"/>
        <rFont val="Arial"/>
        <family val="2"/>
      </rPr>
      <t xml:space="preserve">  menos </t>
    </r>
    <r>
      <rPr>
        <b/>
        <sz val="9"/>
        <color indexed="45"/>
        <rFont val="Arial"/>
        <family val="2"/>
      </rPr>
      <t>a entrada</t>
    </r>
  </si>
  <si>
    <r>
      <t>P</t>
    </r>
    <r>
      <rPr>
        <b/>
        <sz val="9"/>
        <color indexed="55"/>
        <rFont val="Arial"/>
        <family val="2"/>
      </rPr>
      <t>=Valor da Parcela</t>
    </r>
  </si>
  <si>
    <r>
      <t>i</t>
    </r>
    <r>
      <rPr>
        <b/>
        <sz val="10"/>
        <color indexed="55"/>
        <rFont val="Arial"/>
        <family val="2"/>
      </rPr>
      <t>= Taxa unitária</t>
    </r>
  </si>
  <si>
    <r>
      <t>n</t>
    </r>
    <r>
      <rPr>
        <b/>
        <sz val="9"/>
        <color indexed="55"/>
        <rFont val="Arial"/>
        <family val="2"/>
      </rPr>
      <t xml:space="preserve">= Número de parcelas mensais </t>
    </r>
    <r>
      <rPr>
        <b/>
        <sz val="9"/>
        <color indexed="23"/>
        <rFont val="Arial"/>
        <family val="2"/>
      </rPr>
      <t>fora</t>
    </r>
    <r>
      <rPr>
        <b/>
        <sz val="9"/>
        <color indexed="55"/>
        <rFont val="Arial"/>
        <family val="2"/>
      </rPr>
      <t xml:space="preserve"> a entrada</t>
    </r>
  </si>
  <si>
    <r>
      <t>n</t>
    </r>
    <r>
      <rPr>
        <b/>
        <sz val="12"/>
        <color indexed="8"/>
        <rFont val="Arial"/>
        <family val="2"/>
      </rPr>
      <t>=ln[</t>
    </r>
    <r>
      <rPr>
        <b/>
        <sz val="12"/>
        <color indexed="60"/>
        <rFont val="Arial"/>
        <family val="2"/>
      </rPr>
      <t xml:space="preserve">P </t>
    </r>
    <r>
      <rPr>
        <b/>
        <sz val="12"/>
        <color indexed="8"/>
        <rFont val="Arial"/>
        <family val="2"/>
      </rPr>
      <t>/ (</t>
    </r>
    <r>
      <rPr>
        <b/>
        <sz val="12"/>
        <color indexed="60"/>
        <rFont val="Arial"/>
        <family val="2"/>
      </rPr>
      <t>P</t>
    </r>
    <r>
      <rPr>
        <b/>
        <sz val="12"/>
        <color indexed="8"/>
        <rFont val="Arial"/>
        <family val="2"/>
      </rPr>
      <t>-</t>
    </r>
    <r>
      <rPr>
        <b/>
        <sz val="12"/>
        <color indexed="14"/>
        <rFont val="Arial"/>
        <family val="2"/>
      </rPr>
      <t>Va</t>
    </r>
    <r>
      <rPr>
        <b/>
        <sz val="8"/>
        <color indexed="8"/>
        <rFont val="Arial"/>
        <family val="2"/>
      </rPr>
      <t>x</t>
    </r>
    <r>
      <rPr>
        <b/>
        <sz val="12"/>
        <color indexed="17"/>
        <rFont val="Arial"/>
        <family val="2"/>
      </rPr>
      <t>i</t>
    </r>
    <r>
      <rPr>
        <b/>
        <sz val="12"/>
        <color indexed="8"/>
        <rFont val="Arial"/>
        <family val="2"/>
      </rPr>
      <t>) ] / ln(1+</t>
    </r>
    <r>
      <rPr>
        <b/>
        <sz val="12"/>
        <color indexed="17"/>
        <rFont val="Arial"/>
        <family val="2"/>
      </rPr>
      <t>i</t>
    </r>
    <r>
      <rPr>
        <b/>
        <sz val="12"/>
        <color indexed="8"/>
        <rFont val="Arial"/>
        <family val="2"/>
      </rPr>
      <t>)</t>
    </r>
  </si>
  <si>
    <r>
      <t>Va</t>
    </r>
    <r>
      <rPr>
        <b/>
        <sz val="9"/>
        <color indexed="55"/>
        <rFont val="Arial"/>
        <family val="2"/>
      </rPr>
      <t xml:space="preserve">=Valor Atual ou </t>
    </r>
    <r>
      <rPr>
        <b/>
        <sz val="9"/>
        <color indexed="53"/>
        <rFont val="Arial"/>
        <family val="2"/>
      </rPr>
      <t>Valor à vista</t>
    </r>
    <r>
      <rPr>
        <b/>
        <sz val="9"/>
        <color indexed="55"/>
        <rFont val="Arial"/>
        <family val="2"/>
      </rPr>
      <t xml:space="preserve">  </t>
    </r>
    <r>
      <rPr>
        <b/>
        <sz val="14"/>
        <color indexed="55"/>
        <rFont val="Arial"/>
        <family val="2"/>
      </rPr>
      <t>-</t>
    </r>
    <r>
      <rPr>
        <b/>
        <sz val="9"/>
        <color indexed="55"/>
        <rFont val="Arial"/>
        <family val="2"/>
      </rPr>
      <t xml:space="preserve"> </t>
    </r>
    <r>
      <rPr>
        <b/>
        <sz val="9"/>
        <color indexed="45"/>
        <rFont val="Arial"/>
        <family val="2"/>
      </rPr>
      <t>a entrada</t>
    </r>
  </si>
  <si>
    <t>ln[</t>
  </si>
  <si>
    <t xml:space="preserve">   /       (</t>
  </si>
  <si>
    <t>-</t>
  </si>
  <si>
    <t>)</t>
  </si>
  <si>
    <r>
      <t>n</t>
    </r>
    <r>
      <rPr>
        <b/>
        <sz val="14"/>
        <color indexed="8"/>
        <rFont val="Times New Roman"/>
        <family val="1"/>
      </rPr>
      <t>=</t>
    </r>
  </si>
  <si>
    <t xml:space="preserve">)  ] /  ln ( </t>
  </si>
  <si>
    <t xml:space="preserve">   /    </t>
  </si>
  <si>
    <t xml:space="preserve">  ] /  ln ( </t>
  </si>
  <si>
    <t xml:space="preserve">  ]   /   ln  ( </t>
  </si>
  <si>
    <t>) ] /  ln ( 1 +</t>
  </si>
  <si>
    <t xml:space="preserve">       /    </t>
  </si>
  <si>
    <t>Resultado</t>
  </si>
  <si>
    <r>
      <t>Cálculo do valor da</t>
    </r>
    <r>
      <rPr>
        <b/>
        <sz val="14"/>
        <color indexed="60"/>
        <rFont val="Arial"/>
        <family val="2"/>
      </rPr>
      <t xml:space="preserve"> Parcela</t>
    </r>
  </si>
  <si>
    <r>
      <t xml:space="preserve">Cálculo do </t>
    </r>
    <r>
      <rPr>
        <b/>
        <sz val="14"/>
        <color indexed="12"/>
        <rFont val="Arial"/>
        <family val="2"/>
      </rPr>
      <t>número</t>
    </r>
    <r>
      <rPr>
        <b/>
        <sz val="14"/>
        <color indexed="8"/>
        <rFont val="Arial"/>
        <family val="2"/>
      </rPr>
      <t xml:space="preserve"> de Parcelas</t>
    </r>
  </si>
  <si>
    <t xml:space="preserve">     Coloque o Capital Inicial  ou valor à vista =&gt;</t>
  </si>
  <si>
    <t>Va = Valor à vista nenos entrada</t>
  </si>
  <si>
    <t>P=Valor da Parcela mensal fixa</t>
  </si>
  <si>
    <t>n=número de parcelas sem a entrada</t>
  </si>
  <si>
    <t>-n</t>
  </si>
  <si>
    <t xml:space="preserve">     Va=P[ 1 - (1+i)  ] / i</t>
  </si>
  <si>
    <t>VA</t>
  </si>
  <si>
    <t xml:space="preserve">[ 1 - (   1  + </t>
  </si>
  <si>
    <t xml:space="preserve">)  ]    / </t>
  </si>
  <si>
    <r>
      <t xml:space="preserve">Va </t>
    </r>
    <r>
      <rPr>
        <b/>
        <sz val="12"/>
        <color indexed="8"/>
        <rFont val="Arial"/>
        <family val="2"/>
      </rPr>
      <t>=</t>
    </r>
  </si>
  <si>
    <t xml:space="preserve">[ 1     -     (  </t>
  </si>
  <si>
    <t>[</t>
  </si>
  <si>
    <t>]     /</t>
  </si>
  <si>
    <t xml:space="preserve"> Aguarde o Valor à vista =&gt;</t>
  </si>
  <si>
    <t xml:space="preserve"> Aguarde o Valor atual (valor financiado) =&gt;</t>
  </si>
  <si>
    <t>=</t>
  </si>
  <si>
    <t>+</t>
  </si>
  <si>
    <t>Valor à vista=Valor financiado+ entrada</t>
  </si>
  <si>
    <r>
      <t xml:space="preserve">Cálculo do </t>
    </r>
    <r>
      <rPr>
        <b/>
        <sz val="14"/>
        <color indexed="14"/>
        <rFont val="Arial"/>
        <family val="2"/>
      </rPr>
      <t>valor Atual</t>
    </r>
  </si>
  <si>
    <r>
      <t>n</t>
    </r>
    <r>
      <rPr>
        <b/>
        <sz val="9"/>
        <color indexed="55"/>
        <rFont val="Arial"/>
        <family val="2"/>
      </rPr>
      <t xml:space="preserve">= Número de parcelas mensais </t>
    </r>
    <r>
      <rPr>
        <b/>
        <sz val="9"/>
        <color indexed="23"/>
        <rFont val="Arial"/>
        <family val="2"/>
      </rPr>
      <t>fora</t>
    </r>
    <r>
      <rPr>
        <b/>
        <sz val="9"/>
        <color indexed="55"/>
        <rFont val="Arial"/>
        <family val="2"/>
      </rPr>
      <t xml:space="preserve"> a entrada=&gt;</t>
    </r>
  </si>
  <si>
    <t>Va = P[ 1 -  (1 + i )    ] / i</t>
  </si>
  <si>
    <t>Va=P[ 1 - (1 + i )  ] / i</t>
  </si>
  <si>
    <r>
      <t xml:space="preserve">Cálculo da </t>
    </r>
    <r>
      <rPr>
        <b/>
        <sz val="14"/>
        <color indexed="17"/>
        <rFont val="Arial"/>
        <family val="2"/>
      </rPr>
      <t>taxa</t>
    </r>
    <r>
      <rPr>
        <b/>
        <sz val="14"/>
        <color indexed="8"/>
        <rFont val="Arial"/>
        <family val="2"/>
      </rPr>
      <t xml:space="preserve">  mensal </t>
    </r>
  </si>
  <si>
    <r>
      <t xml:space="preserve">i   é a taxa unitária  </t>
    </r>
    <r>
      <rPr>
        <b/>
        <sz val="10"/>
        <color indexed="17"/>
        <rFont val="Arial"/>
        <family val="2"/>
      </rPr>
      <t>ou   taxa porcentual dividida por 100</t>
    </r>
  </si>
  <si>
    <t xml:space="preserve">   -n    </t>
  </si>
  <si>
    <t xml:space="preserve">-n         </t>
  </si>
  <si>
    <t xml:space="preserve"> -n       </t>
  </si>
  <si>
    <t>i ?</t>
  </si>
  <si>
    <r>
      <t>Va</t>
    </r>
    <r>
      <rPr>
        <b/>
        <sz val="9"/>
        <color indexed="55"/>
        <rFont val="Arial"/>
        <family val="2"/>
      </rPr>
      <t xml:space="preserve">=Valor Atual ou </t>
    </r>
    <r>
      <rPr>
        <b/>
        <sz val="9"/>
        <color indexed="53"/>
        <rFont val="Arial"/>
        <family val="2"/>
      </rPr>
      <t>Valor à vista</t>
    </r>
    <r>
      <rPr>
        <b/>
        <sz val="9"/>
        <color indexed="55"/>
        <rFont val="Arial"/>
        <family val="2"/>
      </rPr>
      <t xml:space="preserve">  </t>
    </r>
    <r>
      <rPr>
        <b/>
        <sz val="14"/>
        <color indexed="8"/>
        <rFont val="Arial"/>
        <family val="2"/>
      </rPr>
      <t>-</t>
    </r>
    <r>
      <rPr>
        <b/>
        <sz val="9"/>
        <color indexed="55"/>
        <rFont val="Arial"/>
        <family val="2"/>
      </rPr>
      <t xml:space="preserve"> </t>
    </r>
    <r>
      <rPr>
        <b/>
        <sz val="9"/>
        <color indexed="14"/>
        <rFont val="Arial"/>
        <family val="2"/>
      </rPr>
      <t>a entrada</t>
    </r>
  </si>
  <si>
    <r>
      <t xml:space="preserve">     </t>
    </r>
    <r>
      <rPr>
        <b/>
        <sz val="14"/>
        <color indexed="14"/>
        <rFont val="Times New Roman"/>
        <family val="1"/>
      </rPr>
      <t>Va</t>
    </r>
    <r>
      <rPr>
        <b/>
        <sz val="14"/>
        <color indexed="8"/>
        <rFont val="Times New Roman"/>
        <family val="1"/>
      </rPr>
      <t>/</t>
    </r>
    <r>
      <rPr>
        <b/>
        <sz val="14"/>
        <color indexed="60"/>
        <rFont val="Times New Roman"/>
        <family val="1"/>
      </rPr>
      <t>P</t>
    </r>
    <r>
      <rPr>
        <b/>
        <sz val="14"/>
        <color indexed="8"/>
        <rFont val="Times New Roman"/>
        <family val="1"/>
      </rPr>
      <t xml:space="preserve">=[ 1 </t>
    </r>
    <r>
      <rPr>
        <sz val="14"/>
        <color indexed="8"/>
        <rFont val="Times New Roman"/>
        <family val="1"/>
      </rPr>
      <t xml:space="preserve">- </t>
    </r>
    <r>
      <rPr>
        <b/>
        <sz val="14"/>
        <color indexed="8"/>
        <rFont val="Times New Roman"/>
        <family val="1"/>
      </rPr>
      <t xml:space="preserve">(1+ </t>
    </r>
    <r>
      <rPr>
        <b/>
        <sz val="14"/>
        <color indexed="17"/>
        <rFont val="Times New Roman"/>
        <family val="1"/>
      </rPr>
      <t>i</t>
    </r>
    <r>
      <rPr>
        <b/>
        <sz val="14"/>
        <color indexed="55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)</t>
    </r>
    <r>
      <rPr>
        <b/>
        <sz val="14"/>
        <color indexed="55"/>
        <rFont val="Times New Roman"/>
        <family val="1"/>
      </rPr>
      <t xml:space="preserve">  </t>
    </r>
    <r>
      <rPr>
        <b/>
        <sz val="14"/>
        <color indexed="8"/>
        <rFont val="Times New Roman"/>
        <family val="1"/>
      </rPr>
      <t>] /</t>
    </r>
    <r>
      <rPr>
        <b/>
        <sz val="14"/>
        <color indexed="55"/>
        <rFont val="Times New Roman"/>
        <family val="1"/>
      </rPr>
      <t xml:space="preserve"> </t>
    </r>
    <r>
      <rPr>
        <b/>
        <sz val="14"/>
        <color indexed="21"/>
        <rFont val="Times New Roman"/>
        <family val="1"/>
      </rPr>
      <t>i</t>
    </r>
  </si>
  <si>
    <r>
      <t xml:space="preserve">[ 1 - ( 1 + </t>
    </r>
    <r>
      <rPr>
        <b/>
        <sz val="14"/>
        <color indexed="17"/>
        <rFont val="Times New Roman"/>
        <family val="1"/>
      </rPr>
      <t xml:space="preserve">i </t>
    </r>
    <r>
      <rPr>
        <b/>
        <sz val="14"/>
        <color indexed="8"/>
        <rFont val="Times New Roman"/>
        <family val="1"/>
      </rPr>
      <t xml:space="preserve">)  ] / </t>
    </r>
    <r>
      <rPr>
        <b/>
        <sz val="14"/>
        <color indexed="17"/>
        <rFont val="Times New Roman"/>
        <family val="1"/>
      </rPr>
      <t>i</t>
    </r>
  </si>
  <si>
    <t>4)</t>
  </si>
  <si>
    <r>
      <t xml:space="preserve">[ 1 - ( 1 + </t>
    </r>
    <r>
      <rPr>
        <b/>
        <sz val="14"/>
        <color indexed="17"/>
        <rFont val="Times New Roman"/>
        <family val="1"/>
      </rPr>
      <t xml:space="preserve">i </t>
    </r>
    <r>
      <rPr>
        <b/>
        <sz val="14"/>
        <color indexed="8"/>
        <rFont val="Times New Roman"/>
        <family val="1"/>
      </rPr>
      <t xml:space="preserve">)  ] / </t>
    </r>
    <r>
      <rPr>
        <b/>
        <sz val="14"/>
        <color indexed="17"/>
        <rFont val="Times New Roman"/>
        <family val="1"/>
      </rPr>
      <t>i</t>
    </r>
    <r>
      <rPr>
        <b/>
        <sz val="14"/>
        <color indexed="8"/>
        <rFont val="Times New Roman"/>
        <family val="1"/>
      </rPr>
      <t>=0</t>
    </r>
  </si>
  <si>
    <t>Ver  processo de procura de i por tabelas</t>
  </si>
  <si>
    <t>(Price)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</si>
</sst>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0.00000"/>
    <numFmt numFmtId="167" formatCode="0.0000"/>
    <numFmt numFmtId="168" formatCode="0.000"/>
    <numFmt numFmtId="169" formatCode="0.000000"/>
    <numFmt numFmtId="170" formatCode="0.000%"/>
    <numFmt numFmtId="171" formatCode="_(* #,##0.000000_);_(* \(#,##0.000000\);_(* &quot;-&quot;??_);_(@_)"/>
  </numFmts>
  <fonts count="106" x14ac:knownFonts="1">
    <font>
      <sz val="12"/>
      <name val="Times New Roman"/>
    </font>
    <font>
      <sz val="12"/>
      <name val="Times New Roman"/>
    </font>
    <font>
      <b/>
      <sz val="16"/>
      <color indexed="16"/>
      <name val="Arial"/>
      <family val="2"/>
    </font>
    <font>
      <b/>
      <sz val="14"/>
      <color indexed="60"/>
      <name val="Arial"/>
      <family val="2"/>
    </font>
    <font>
      <b/>
      <sz val="14"/>
      <color indexed="8"/>
      <name val="Arial"/>
      <family val="2"/>
    </font>
    <font>
      <b/>
      <sz val="14"/>
      <color indexed="47"/>
      <name val="Arial"/>
      <family val="2"/>
    </font>
    <font>
      <b/>
      <sz val="14"/>
      <color indexed="22"/>
      <name val="Arial"/>
      <family val="2"/>
    </font>
    <font>
      <b/>
      <sz val="14"/>
      <color indexed="16"/>
      <name val="Arial"/>
      <family val="2"/>
    </font>
    <font>
      <b/>
      <sz val="12"/>
      <color indexed="8"/>
      <name val="Arial"/>
      <family val="2"/>
    </font>
    <font>
      <b/>
      <sz val="12"/>
      <color indexed="60"/>
      <name val="Arial"/>
      <family val="2"/>
    </font>
    <font>
      <b/>
      <sz val="14"/>
      <color indexed="10"/>
      <name val="Arial"/>
      <family val="2"/>
    </font>
    <font>
      <b/>
      <sz val="12"/>
      <color indexed="4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9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sz val="12"/>
      <color indexed="9"/>
      <name val="Times New Roman"/>
      <family val="1"/>
    </font>
    <font>
      <b/>
      <sz val="14"/>
      <color indexed="9"/>
      <name val="Arial"/>
      <family val="2"/>
    </font>
    <font>
      <sz val="12"/>
      <color indexed="9"/>
      <name val="Times New Roman"/>
    </font>
    <font>
      <b/>
      <sz val="12"/>
      <color indexed="10"/>
      <name val="Arial"/>
      <family val="2"/>
    </font>
    <font>
      <b/>
      <sz val="14"/>
      <color indexed="55"/>
      <name val="Arial"/>
      <family val="2"/>
    </font>
    <font>
      <b/>
      <sz val="12"/>
      <color indexed="55"/>
      <name val="Arial"/>
      <family val="2"/>
    </font>
    <font>
      <b/>
      <sz val="12"/>
      <color indexed="23"/>
      <name val="Arial"/>
      <family val="2"/>
    </font>
    <font>
      <b/>
      <sz val="9"/>
      <color indexed="23"/>
      <name val="Arial"/>
      <family val="2"/>
    </font>
    <font>
      <b/>
      <sz val="12"/>
      <name val="Times New Roman"/>
      <family val="1"/>
    </font>
    <font>
      <b/>
      <sz val="10"/>
      <color indexed="23"/>
      <name val="Arial"/>
      <family val="2"/>
    </font>
    <font>
      <sz val="12"/>
      <color indexed="55"/>
      <name val="Times New Roman"/>
      <family val="1"/>
    </font>
    <font>
      <b/>
      <sz val="9"/>
      <color indexed="55"/>
      <name val="Arial"/>
      <family val="2"/>
    </font>
    <font>
      <b/>
      <sz val="14"/>
      <color indexed="55"/>
      <name val="Times New Roman"/>
      <family val="1"/>
    </font>
    <font>
      <b/>
      <sz val="16"/>
      <color indexed="55"/>
      <name val="Arial"/>
      <family val="2"/>
    </font>
    <font>
      <sz val="12"/>
      <color indexed="55"/>
      <name val="Times New Roman"/>
    </font>
    <font>
      <b/>
      <sz val="12"/>
      <color indexed="55"/>
      <name val="Times New Roman"/>
      <family val="1"/>
    </font>
    <font>
      <b/>
      <sz val="10"/>
      <color indexed="55"/>
      <name val="Arial"/>
      <family val="2"/>
    </font>
    <font>
      <b/>
      <sz val="12"/>
      <color indexed="45"/>
      <name val="Arial"/>
      <family val="2"/>
    </font>
    <font>
      <sz val="12"/>
      <color indexed="21"/>
      <name val="Times New Roman"/>
    </font>
    <font>
      <sz val="12"/>
      <color indexed="12"/>
      <name val="Times New Roman"/>
    </font>
    <font>
      <b/>
      <sz val="14"/>
      <color indexed="45"/>
      <name val="Arial"/>
      <family val="2"/>
    </font>
    <font>
      <u/>
      <sz val="12"/>
      <color indexed="12"/>
      <name val="Times New Roman"/>
    </font>
    <font>
      <b/>
      <sz val="10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47"/>
      <name val="Arial"/>
      <family val="2"/>
    </font>
    <font>
      <b/>
      <sz val="12"/>
      <color indexed="17"/>
      <name val="Arial"/>
      <family val="2"/>
    </font>
    <font>
      <b/>
      <sz val="10"/>
      <color indexed="17"/>
      <name val="Arial"/>
      <family val="2"/>
    </font>
    <font>
      <b/>
      <sz val="10"/>
      <color indexed="60"/>
      <name val="Arial"/>
      <family val="2"/>
    </font>
    <font>
      <b/>
      <sz val="9"/>
      <color indexed="14"/>
      <name val="Arial"/>
      <family val="2"/>
    </font>
    <font>
      <b/>
      <sz val="9"/>
      <color indexed="60"/>
      <name val="Arial"/>
      <family val="2"/>
    </font>
    <font>
      <b/>
      <sz val="9"/>
      <color indexed="17"/>
      <name val="Arial"/>
      <family val="2"/>
    </font>
    <font>
      <b/>
      <sz val="9"/>
      <color indexed="12"/>
      <name val="Arial"/>
      <family val="2"/>
    </font>
    <font>
      <b/>
      <sz val="12"/>
      <color indexed="60"/>
      <name val="Times New Roman"/>
      <family val="1"/>
    </font>
    <font>
      <b/>
      <sz val="12"/>
      <color indexed="14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8"/>
      <name val="Times New Roman"/>
      <family val="1"/>
    </font>
    <font>
      <b/>
      <sz val="6"/>
      <color indexed="8"/>
      <name val="Times New Roman"/>
      <family val="1"/>
    </font>
    <font>
      <b/>
      <sz val="10"/>
      <color indexed="14"/>
      <name val="Arial"/>
      <family val="2"/>
    </font>
    <font>
      <b/>
      <sz val="10"/>
      <color indexed="21"/>
      <name val="Arial"/>
      <family val="2"/>
    </font>
    <font>
      <b/>
      <sz val="8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9"/>
      <name val="Arial"/>
      <family val="2"/>
    </font>
    <font>
      <b/>
      <sz val="9"/>
      <color indexed="53"/>
      <name val="Arial"/>
      <family val="2"/>
    </font>
    <font>
      <b/>
      <sz val="9"/>
      <color indexed="45"/>
      <name val="Arial"/>
      <family val="2"/>
    </font>
    <font>
      <sz val="10"/>
      <color indexed="55"/>
      <name val="Times New Roman"/>
      <family val="1"/>
    </font>
    <font>
      <b/>
      <sz val="12"/>
      <color indexed="14"/>
      <name val="Arial"/>
      <family val="2"/>
    </font>
    <font>
      <sz val="12"/>
      <name val="Times New Roman"/>
    </font>
    <font>
      <b/>
      <sz val="16"/>
      <color indexed="8"/>
      <name val="Arial"/>
      <family val="2"/>
    </font>
    <font>
      <b/>
      <sz val="14"/>
      <color indexed="12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20"/>
      <name val="Times New Roman"/>
      <family val="1"/>
    </font>
    <font>
      <b/>
      <sz val="12"/>
      <color indexed="61"/>
      <name val="Arial"/>
      <family val="2"/>
    </font>
    <font>
      <b/>
      <sz val="14"/>
      <color indexed="17"/>
      <name val="Arial"/>
      <family val="2"/>
    </font>
    <font>
      <b/>
      <sz val="12"/>
      <color indexed="20"/>
      <name val="Arial"/>
      <family val="2"/>
    </font>
    <font>
      <b/>
      <sz val="12"/>
      <color indexed="54"/>
      <name val="Arial"/>
      <family val="2"/>
    </font>
    <font>
      <b/>
      <sz val="11"/>
      <color indexed="8"/>
      <name val="Arial"/>
      <family val="2"/>
    </font>
    <font>
      <b/>
      <sz val="12"/>
      <color indexed="22"/>
      <name val="Arial"/>
      <family val="2"/>
    </font>
    <font>
      <b/>
      <sz val="10"/>
      <name val="Times New Roman"/>
      <family val="1"/>
    </font>
    <font>
      <b/>
      <sz val="12"/>
      <color indexed="19"/>
      <name val="Arial"/>
      <family val="2"/>
    </font>
    <font>
      <b/>
      <sz val="14"/>
      <color indexed="14"/>
      <name val="Arial"/>
      <family val="2"/>
    </font>
    <font>
      <sz val="12"/>
      <color indexed="47"/>
      <name val="Times New Roman"/>
    </font>
    <font>
      <b/>
      <sz val="10"/>
      <color indexed="47"/>
      <name val="Arial"/>
      <family val="2"/>
    </font>
    <font>
      <b/>
      <sz val="14"/>
      <color indexed="14"/>
      <name val="Times New Roman"/>
      <family val="1"/>
    </font>
    <font>
      <b/>
      <sz val="14"/>
      <color indexed="60"/>
      <name val="Times New Roman"/>
      <family val="1"/>
    </font>
    <font>
      <b/>
      <sz val="14"/>
      <color indexed="17"/>
      <name val="Times New Roman"/>
      <family val="1"/>
    </font>
    <font>
      <b/>
      <sz val="10"/>
      <color indexed="12"/>
      <name val="Arial"/>
      <family val="2"/>
    </font>
    <font>
      <b/>
      <sz val="14"/>
      <color indexed="21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23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</font>
    <font>
      <sz val="8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45"/>
      <name val="Arial"/>
      <family val="2"/>
    </font>
    <font>
      <b/>
      <sz val="11"/>
      <color indexed="57"/>
      <name val="Arial"/>
      <family val="2"/>
    </font>
    <font>
      <b/>
      <sz val="11"/>
      <color indexed="47"/>
      <name val="Arial"/>
      <family val="2"/>
    </font>
    <font>
      <b/>
      <sz val="11"/>
      <color indexed="12"/>
      <name val="Arial"/>
      <family val="2"/>
    </font>
    <font>
      <b/>
      <sz val="11"/>
      <color indexed="60"/>
      <name val="Arial"/>
      <family val="2"/>
    </font>
    <font>
      <b/>
      <sz val="11"/>
      <color indexed="17"/>
      <name val="Arial"/>
      <family val="2"/>
    </font>
    <font>
      <b/>
      <sz val="11"/>
      <color indexed="21"/>
      <name val="Arial"/>
      <family val="2"/>
    </font>
    <font>
      <b/>
      <sz val="11"/>
      <color indexed="14"/>
      <name val="Arial"/>
      <family val="2"/>
    </font>
    <font>
      <b/>
      <sz val="9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8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4">
    <xf numFmtId="0" fontId="0" fillId="0" borderId="0" xfId="0"/>
    <xf numFmtId="0" fontId="77" fillId="2" borderId="0" xfId="0" applyFont="1" applyFill="1" applyProtection="1">
      <protection locked="0"/>
    </xf>
    <xf numFmtId="0" fontId="2" fillId="2" borderId="0" xfId="0" applyFont="1" applyFill="1" applyBorder="1" applyProtection="1">
      <protection locked="0"/>
    </xf>
    <xf numFmtId="0" fontId="27" fillId="2" borderId="8" xfId="0" applyFont="1" applyFill="1" applyBorder="1" applyProtection="1">
      <protection locked="0"/>
    </xf>
    <xf numFmtId="0" fontId="28" fillId="2" borderId="9" xfId="0" quotePrefix="1" applyFont="1" applyFill="1" applyBorder="1" applyAlignment="1" applyProtection="1">
      <alignment horizontal="left"/>
      <protection locked="0"/>
    </xf>
    <xf numFmtId="0" fontId="28" fillId="2" borderId="16" xfId="0" quotePrefix="1" applyFont="1" applyFill="1" applyBorder="1" applyAlignment="1" applyProtection="1">
      <alignment horizontal="left"/>
      <protection locked="0"/>
    </xf>
    <xf numFmtId="0" fontId="19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29" fillId="2" borderId="10" xfId="0" applyFont="1" applyFill="1" applyBorder="1" applyProtection="1">
      <protection locked="0"/>
    </xf>
    <xf numFmtId="0" fontId="30" fillId="2" borderId="11" xfId="0" applyFont="1" applyFill="1" applyBorder="1" applyProtection="1">
      <protection locked="0"/>
    </xf>
    <xf numFmtId="0" fontId="31" fillId="2" borderId="12" xfId="0" applyFont="1" applyFill="1" applyBorder="1" applyProtection="1">
      <protection locked="0"/>
    </xf>
    <xf numFmtId="0" fontId="24" fillId="2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18" fillId="2" borderId="0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23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18" fillId="2" borderId="13" xfId="0" applyFont="1" applyFill="1" applyBorder="1" applyProtection="1">
      <protection locked="0"/>
    </xf>
    <xf numFmtId="0" fontId="20" fillId="2" borderId="3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Protection="1">
      <protection locked="0"/>
    </xf>
    <xf numFmtId="165" fontId="94" fillId="2" borderId="25" xfId="2" applyFont="1" applyFill="1" applyBorder="1" applyAlignment="1" applyProtection="1">
      <alignment horizontal="right"/>
      <protection locked="0"/>
    </xf>
    <xf numFmtId="0" fontId="4" fillId="2" borderId="0" xfId="0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2" fillId="2" borderId="0" xfId="0" applyFont="1" applyFill="1" applyBorder="1" applyProtection="1">
      <protection locked="0"/>
    </xf>
    <xf numFmtId="0" fontId="23" fillId="2" borderId="0" xfId="0" applyFont="1" applyFill="1" applyBorder="1" applyAlignment="1" applyProtection="1">
      <alignment horizontal="left"/>
      <protection locked="0"/>
    </xf>
    <xf numFmtId="0" fontId="17" fillId="2" borderId="4" xfId="0" applyFont="1" applyFill="1" applyBorder="1" applyProtection="1">
      <protection locked="0"/>
    </xf>
    <xf numFmtId="0" fontId="34" fillId="2" borderId="3" xfId="0" applyFont="1" applyFill="1" applyBorder="1" applyProtection="1">
      <protection locked="0"/>
    </xf>
    <xf numFmtId="0" fontId="40" fillId="2" borderId="0" xfId="0" applyFont="1" applyFill="1" applyBorder="1" applyProtection="1">
      <protection locked="0"/>
    </xf>
    <xf numFmtId="165" fontId="95" fillId="2" borderId="25" xfId="2" applyFont="1" applyFill="1" applyBorder="1" applyAlignment="1" applyProtection="1">
      <alignment horizontal="right"/>
      <protection locked="0"/>
    </xf>
    <xf numFmtId="0" fontId="0" fillId="2" borderId="0" xfId="0" applyFill="1" applyBorder="1" applyProtection="1">
      <protection locked="0"/>
    </xf>
    <xf numFmtId="0" fontId="23" fillId="2" borderId="4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96" fillId="2" borderId="25" xfId="0" applyFont="1" applyFill="1" applyBorder="1" applyAlignment="1" applyProtection="1">
      <alignment horizontal="right"/>
      <protection locked="0"/>
    </xf>
    <xf numFmtId="0" fontId="16" fillId="2" borderId="0" xfId="0" applyFont="1" applyFill="1" applyBorder="1" applyProtection="1">
      <protection locked="0"/>
    </xf>
    <xf numFmtId="0" fontId="35" fillId="2" borderId="0" xfId="0" applyFont="1" applyFill="1" applyBorder="1" applyProtection="1">
      <protection locked="0"/>
    </xf>
    <xf numFmtId="0" fontId="23" fillId="2" borderId="0" xfId="0" applyFont="1" applyFill="1" applyBorder="1" applyAlignment="1" applyProtection="1">
      <alignment horizontal="right"/>
      <protection locked="0"/>
    </xf>
    <xf numFmtId="0" fontId="5" fillId="2" borderId="3" xfId="0" applyFont="1" applyFill="1" applyBorder="1" applyProtection="1">
      <protection locked="0"/>
    </xf>
    <xf numFmtId="0" fontId="97" fillId="2" borderId="0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13" fillId="2" borderId="3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98" fillId="2" borderId="25" xfId="0" applyFont="1" applyFill="1" applyBorder="1" applyAlignment="1" applyProtection="1">
      <alignment horizontal="right"/>
      <protection locked="0"/>
    </xf>
    <xf numFmtId="0" fontId="36" fillId="2" borderId="0" xfId="0" applyFont="1" applyFill="1" applyBorder="1" applyProtection="1">
      <protection locked="0"/>
    </xf>
    <xf numFmtId="0" fontId="23" fillId="2" borderId="0" xfId="0" applyFont="1" applyFill="1" applyBorder="1" applyProtection="1">
      <protection locked="0"/>
    </xf>
    <xf numFmtId="0" fontId="18" fillId="2" borderId="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5" xfId="0" applyFont="1" applyFill="1" applyBorder="1" applyProtection="1">
      <protection locked="0"/>
    </xf>
    <xf numFmtId="165" fontId="99" fillId="2" borderId="26" xfId="2" applyFont="1" applyFill="1" applyBorder="1" applyAlignment="1" applyProtection="1">
      <alignment horizontal="right"/>
      <protection locked="0"/>
    </xf>
    <xf numFmtId="0" fontId="9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18" fillId="2" borderId="14" xfId="0" applyFont="1" applyFill="1" applyBorder="1" applyProtection="1">
      <protection locked="0"/>
    </xf>
    <xf numFmtId="0" fontId="31" fillId="2" borderId="8" xfId="0" applyFont="1" applyFill="1" applyBorder="1" applyProtection="1">
      <protection locked="0"/>
    </xf>
    <xf numFmtId="0" fontId="31" fillId="2" borderId="9" xfId="0" applyFont="1" applyFill="1" applyBorder="1" applyProtection="1">
      <protection locked="0"/>
    </xf>
    <xf numFmtId="0" fontId="22" fillId="2" borderId="9" xfId="0" quotePrefix="1" applyFont="1" applyFill="1" applyBorder="1" applyAlignment="1" applyProtection="1">
      <alignment horizontal="right"/>
      <protection locked="0"/>
    </xf>
    <xf numFmtId="0" fontId="28" fillId="2" borderId="16" xfId="0" quotePrefix="1" applyFont="1" applyFill="1" applyBorder="1" applyAlignment="1" applyProtection="1">
      <alignment horizontal="center"/>
      <protection locked="0"/>
    </xf>
    <xf numFmtId="0" fontId="28" fillId="2" borderId="0" xfId="0" quotePrefix="1" applyFont="1" applyFill="1" applyBorder="1" applyAlignment="1" applyProtection="1">
      <alignment horizontal="center"/>
      <protection locked="0"/>
    </xf>
    <xf numFmtId="0" fontId="45" fillId="2" borderId="8" xfId="0" applyFont="1" applyFill="1" applyBorder="1" applyProtection="1">
      <protection locked="0"/>
    </xf>
    <xf numFmtId="0" fontId="28" fillId="2" borderId="9" xfId="0" applyFont="1" applyFill="1" applyBorder="1" applyProtection="1">
      <protection locked="0"/>
    </xf>
    <xf numFmtId="165" fontId="28" fillId="2" borderId="9" xfId="2" applyFont="1" applyFill="1" applyBorder="1" applyAlignment="1" applyProtection="1">
      <alignment horizontal="right"/>
      <protection locked="0"/>
    </xf>
    <xf numFmtId="0" fontId="28" fillId="2" borderId="9" xfId="0" quotePrefix="1" applyFont="1" applyFill="1" applyBorder="1" applyProtection="1">
      <protection locked="0"/>
    </xf>
    <xf numFmtId="0" fontId="45" fillId="2" borderId="16" xfId="0" quotePrefix="1" applyFont="1" applyFill="1" applyBorder="1" applyAlignment="1" applyProtection="1">
      <alignment horizontal="left"/>
      <protection locked="0"/>
    </xf>
    <xf numFmtId="0" fontId="32" fillId="2" borderId="10" xfId="0" applyFont="1" applyFill="1" applyBorder="1" applyProtection="1">
      <protection locked="0"/>
    </xf>
    <xf numFmtId="0" fontId="28" fillId="2" borderId="11" xfId="0" applyFont="1" applyFill="1" applyBorder="1" applyProtection="1">
      <protection locked="0"/>
    </xf>
    <xf numFmtId="0" fontId="28" fillId="2" borderId="12" xfId="0" applyFont="1" applyFill="1" applyBorder="1" applyProtection="1">
      <protection locked="0"/>
    </xf>
    <xf numFmtId="0" fontId="28" fillId="2" borderId="0" xfId="0" applyFont="1" applyFill="1" applyBorder="1" applyProtection="1">
      <protection locked="0"/>
    </xf>
    <xf numFmtId="0" fontId="46" fillId="2" borderId="20" xfId="0" applyFont="1" applyFill="1" applyBorder="1" applyProtection="1">
      <protection locked="0"/>
    </xf>
    <xf numFmtId="165" fontId="28" fillId="2" borderId="0" xfId="2" applyFont="1" applyFill="1" applyBorder="1" applyAlignment="1" applyProtection="1">
      <alignment horizontal="right"/>
      <protection locked="0"/>
    </xf>
    <xf numFmtId="0" fontId="28" fillId="2" borderId="0" xfId="0" quotePrefix="1" applyFont="1" applyFill="1" applyBorder="1" applyProtection="1">
      <protection locked="0"/>
    </xf>
    <xf numFmtId="0" fontId="46" fillId="2" borderId="21" xfId="0" applyFont="1" applyFill="1" applyBorder="1" applyAlignment="1" applyProtection="1">
      <alignment horizontal="left"/>
      <protection locked="0"/>
    </xf>
    <xf numFmtId="0" fontId="48" fillId="2" borderId="9" xfId="0" quotePrefix="1" applyFont="1" applyFill="1" applyBorder="1" applyAlignment="1" applyProtection="1">
      <alignment horizontal="right"/>
      <protection locked="0"/>
    </xf>
    <xf numFmtId="0" fontId="43" fillId="2" borderId="20" xfId="0" applyFont="1" applyFill="1" applyBorder="1" applyProtection="1">
      <protection locked="0"/>
    </xf>
    <xf numFmtId="0" fontId="47" fillId="2" borderId="21" xfId="0" quotePrefix="1" applyFont="1" applyFill="1" applyBorder="1" applyAlignment="1" applyProtection="1">
      <alignment horizontal="left"/>
      <protection locked="0"/>
    </xf>
    <xf numFmtId="0" fontId="49" fillId="2" borderId="10" xfId="0" applyFont="1" applyFill="1" applyBorder="1" applyProtection="1">
      <protection locked="0"/>
    </xf>
    <xf numFmtId="0" fontId="48" fillId="2" borderId="10" xfId="0" applyFont="1" applyFill="1" applyBorder="1" applyProtection="1">
      <protection locked="0"/>
    </xf>
    <xf numFmtId="0" fontId="28" fillId="2" borderId="11" xfId="0" quotePrefix="1" applyFont="1" applyFill="1" applyBorder="1" applyProtection="1">
      <protection locked="0"/>
    </xf>
    <xf numFmtId="0" fontId="48" fillId="2" borderId="12" xfId="0" quotePrefix="1" applyFont="1" applyFill="1" applyBorder="1" applyAlignment="1" applyProtection="1">
      <alignment horizontal="left"/>
      <protection locked="0"/>
    </xf>
    <xf numFmtId="0" fontId="78" fillId="2" borderId="0" xfId="0" applyFont="1" applyFill="1" applyBorder="1" applyProtection="1">
      <protection locked="0"/>
    </xf>
    <xf numFmtId="0" fontId="33" fillId="2" borderId="3" xfId="0" applyFont="1" applyFill="1" applyBorder="1" applyProtection="1">
      <protection locked="0"/>
    </xf>
    <xf numFmtId="0" fontId="33" fillId="2" borderId="0" xfId="0" applyFont="1" applyFill="1" applyBorder="1" applyProtection="1">
      <protection locked="0"/>
    </xf>
    <xf numFmtId="0" fontId="44" fillId="2" borderId="0" xfId="0" applyFont="1" applyFill="1" applyBorder="1" applyAlignment="1" applyProtection="1">
      <alignment horizontal="left"/>
      <protection locked="0"/>
    </xf>
    <xf numFmtId="0" fontId="26" fillId="2" borderId="0" xfId="0" applyFont="1" applyFill="1" applyBorder="1" applyProtection="1">
      <protection locked="0"/>
    </xf>
    <xf numFmtId="0" fontId="26" fillId="2" borderId="4" xfId="0" applyFont="1" applyFill="1" applyBorder="1" applyProtection="1">
      <protection locked="0"/>
    </xf>
    <xf numFmtId="0" fontId="44" fillId="2" borderId="3" xfId="0" applyFont="1" applyFill="1" applyBorder="1" applyProtection="1">
      <protection locked="0"/>
    </xf>
    <xf numFmtId="1" fontId="54" fillId="2" borderId="0" xfId="0" applyNumberFormat="1" applyFont="1" applyFill="1" applyBorder="1" applyProtection="1">
      <protection locked="0"/>
    </xf>
    <xf numFmtId="0" fontId="56" fillId="2" borderId="0" xfId="0" applyFont="1" applyFill="1" applyBorder="1" applyProtection="1">
      <protection locked="0"/>
    </xf>
    <xf numFmtId="0" fontId="43" fillId="2" borderId="0" xfId="0" applyFont="1" applyFill="1" applyBorder="1" applyProtection="1">
      <protection locked="0"/>
    </xf>
    <xf numFmtId="0" fontId="39" fillId="2" borderId="0" xfId="0" applyFont="1" applyFill="1" applyBorder="1" applyProtection="1">
      <protection locked="0"/>
    </xf>
    <xf numFmtId="0" fontId="43" fillId="2" borderId="0" xfId="0" applyFont="1" applyFill="1" applyBorder="1" applyAlignment="1" applyProtection="1">
      <alignment horizontal="center"/>
      <protection locked="0"/>
    </xf>
    <xf numFmtId="0" fontId="39" fillId="2" borderId="0" xfId="0" applyFont="1" applyFill="1" applyBorder="1" applyAlignment="1" applyProtection="1">
      <alignment horizontal="left"/>
      <protection locked="0"/>
    </xf>
    <xf numFmtId="167" fontId="57" fillId="2" borderId="0" xfId="0" applyNumberFormat="1" applyFont="1" applyFill="1" applyBorder="1" applyProtection="1">
      <protection locked="0"/>
    </xf>
    <xf numFmtId="0" fontId="8" fillId="2" borderId="0" xfId="0" quotePrefix="1" applyFont="1" applyFill="1" applyBorder="1" applyProtection="1">
      <protection locked="0"/>
    </xf>
    <xf numFmtId="171" fontId="58" fillId="2" borderId="0" xfId="3" applyNumberFormat="1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166" fontId="55" fillId="2" borderId="0" xfId="0" applyNumberFormat="1" applyFont="1" applyFill="1" applyBorder="1" applyProtection="1">
      <protection locked="0"/>
    </xf>
    <xf numFmtId="2" fontId="44" fillId="2" borderId="0" xfId="0" applyNumberFormat="1" applyFont="1" applyFill="1" applyBorder="1" applyProtection="1">
      <protection locked="0"/>
    </xf>
    <xf numFmtId="0" fontId="22" fillId="2" borderId="0" xfId="0" quotePrefix="1" applyFont="1" applyFill="1" applyBorder="1" applyProtection="1">
      <protection locked="0"/>
    </xf>
    <xf numFmtId="0" fontId="78" fillId="2" borderId="17" xfId="0" applyFont="1" applyFill="1" applyBorder="1" applyProtection="1">
      <protection locked="0"/>
    </xf>
    <xf numFmtId="0" fontId="39" fillId="2" borderId="5" xfId="0" applyFont="1" applyFill="1" applyBorder="1" applyProtection="1">
      <protection locked="0"/>
    </xf>
    <xf numFmtId="2" fontId="39" fillId="2" borderId="5" xfId="0" applyNumberFormat="1" applyFont="1" applyFill="1" applyBorder="1" applyProtection="1">
      <protection locked="0"/>
    </xf>
    <xf numFmtId="0" fontId="8" fillId="2" borderId="5" xfId="0" quotePrefix="1" applyFont="1" applyFill="1" applyBorder="1" applyProtection="1">
      <protection locked="0"/>
    </xf>
    <xf numFmtId="0" fontId="78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33" fillId="2" borderId="2" xfId="0" applyNumberFormat="1" applyFont="1" applyFill="1" applyBorder="1" applyProtection="1">
      <protection locked="0"/>
    </xf>
    <xf numFmtId="0" fontId="22" fillId="2" borderId="2" xfId="0" quotePrefix="1" applyFont="1" applyFill="1" applyBorder="1" applyProtection="1">
      <protection locked="0"/>
    </xf>
    <xf numFmtId="0" fontId="33" fillId="2" borderId="2" xfId="0" applyFont="1" applyFill="1" applyBorder="1" applyProtection="1">
      <protection locked="0"/>
    </xf>
    <xf numFmtId="0" fontId="26" fillId="2" borderId="2" xfId="0" applyFont="1" applyFill="1" applyBorder="1" applyProtection="1">
      <protection locked="0"/>
    </xf>
    <xf numFmtId="0" fontId="78" fillId="2" borderId="3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6" fillId="2" borderId="9" xfId="0" applyFont="1" applyFill="1" applyBorder="1" applyProtection="1">
      <protection locked="0"/>
    </xf>
    <xf numFmtId="0" fontId="26" fillId="2" borderId="16" xfId="0" applyFont="1" applyFill="1" applyBorder="1" applyProtection="1">
      <protection locked="0"/>
    </xf>
    <xf numFmtId="0" fontId="78" fillId="2" borderId="6" xfId="0" applyFont="1" applyFill="1" applyBorder="1" applyProtection="1">
      <protection locked="0"/>
    </xf>
    <xf numFmtId="0" fontId="33" fillId="2" borderId="6" xfId="0" applyFont="1" applyFill="1" applyBorder="1" applyProtection="1">
      <protection locked="0"/>
    </xf>
    <xf numFmtId="2" fontId="33" fillId="2" borderId="7" xfId="0" applyNumberFormat="1" applyFont="1" applyFill="1" applyBorder="1" applyProtection="1">
      <protection locked="0"/>
    </xf>
    <xf numFmtId="0" fontId="22" fillId="2" borderId="7" xfId="0" quotePrefix="1" applyFont="1" applyFill="1" applyBorder="1" applyProtection="1">
      <protection locked="0"/>
    </xf>
    <xf numFmtId="0" fontId="33" fillId="2" borderId="7" xfId="0" applyFont="1" applyFill="1" applyBorder="1" applyProtection="1">
      <protection locked="0"/>
    </xf>
    <xf numFmtId="0" fontId="26" fillId="2" borderId="7" xfId="0" applyFont="1" applyFill="1" applyBorder="1" applyProtection="1">
      <protection locked="0"/>
    </xf>
    <xf numFmtId="0" fontId="77" fillId="2" borderId="0" xfId="0" applyFont="1" applyFill="1" applyBorder="1" applyProtection="1">
      <protection locked="0"/>
    </xf>
    <xf numFmtId="0" fontId="12" fillId="2" borderId="5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18" fillId="2" borderId="15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20" fillId="2" borderId="3" xfId="0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165" fontId="72" fillId="2" borderId="0" xfId="2" applyFont="1" applyFill="1" applyBorder="1" applyAlignment="1" applyProtection="1">
      <alignment horizontal="right"/>
      <protection locked="0"/>
    </xf>
    <xf numFmtId="0" fontId="41" fillId="2" borderId="3" xfId="0" applyFont="1" applyFill="1" applyBorder="1" applyProtection="1">
      <protection locked="0"/>
    </xf>
    <xf numFmtId="0" fontId="42" fillId="2" borderId="3" xfId="0" applyFont="1" applyFill="1" applyBorder="1" applyProtection="1">
      <protection locked="0"/>
    </xf>
    <xf numFmtId="0" fontId="100" fillId="2" borderId="25" xfId="0" applyFont="1" applyFill="1" applyBorder="1" applyAlignment="1" applyProtection="1">
      <alignment horizontal="right"/>
      <protection locked="0"/>
    </xf>
    <xf numFmtId="0" fontId="9" fillId="2" borderId="3" xfId="0" applyFont="1" applyFill="1" applyBorder="1" applyProtection="1">
      <protection locked="0"/>
    </xf>
    <xf numFmtId="165" fontId="99" fillId="2" borderId="25" xfId="0" applyNumberFormat="1" applyFont="1" applyFill="1" applyBorder="1" applyAlignment="1" applyProtection="1">
      <alignment horizontal="right"/>
      <protection locked="0"/>
    </xf>
    <xf numFmtId="0" fontId="44" fillId="2" borderId="0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10" fillId="2" borderId="23" xfId="0" applyFont="1" applyFill="1" applyBorder="1" applyProtection="1">
      <protection locked="0"/>
    </xf>
    <xf numFmtId="0" fontId="10" fillId="2" borderId="24" xfId="0" applyFont="1" applyFill="1" applyBorder="1" applyProtection="1">
      <protection locked="0"/>
    </xf>
    <xf numFmtId="165" fontId="99" fillId="2" borderId="25" xfId="2" applyFont="1" applyFill="1" applyBorder="1" applyAlignment="1" applyProtection="1">
      <alignment horizontal="right"/>
      <protection locked="0"/>
    </xf>
    <xf numFmtId="0" fontId="4" fillId="2" borderId="7" xfId="0" applyFont="1" applyFill="1" applyBorder="1" applyProtection="1">
      <protection locked="0"/>
    </xf>
    <xf numFmtId="0" fontId="61" fillId="2" borderId="9" xfId="0" applyFont="1" applyFill="1" applyBorder="1" applyProtection="1">
      <protection locked="0"/>
    </xf>
    <xf numFmtId="0" fontId="27" fillId="2" borderId="9" xfId="0" applyFont="1" applyFill="1" applyBorder="1" applyAlignment="1" applyProtection="1">
      <alignment horizontal="right"/>
      <protection locked="0"/>
    </xf>
    <xf numFmtId="1" fontId="45" fillId="2" borderId="16" xfId="0" quotePrefix="1" applyNumberFormat="1" applyFont="1" applyFill="1" applyBorder="1" applyAlignment="1" applyProtection="1">
      <alignment horizontal="left"/>
      <protection locked="0"/>
    </xf>
    <xf numFmtId="1" fontId="45" fillId="2" borderId="9" xfId="0" quotePrefix="1" applyNumberFormat="1" applyFont="1" applyFill="1" applyBorder="1" applyAlignment="1" applyProtection="1">
      <alignment horizontal="left"/>
      <protection locked="0"/>
    </xf>
    <xf numFmtId="0" fontId="18" fillId="2" borderId="16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31" fillId="2" borderId="0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1" fontId="46" fillId="2" borderId="21" xfId="0" quotePrefix="1" applyNumberFormat="1" applyFont="1" applyFill="1" applyBorder="1" applyAlignment="1" applyProtection="1">
      <alignment horizontal="left"/>
      <protection locked="0"/>
    </xf>
    <xf numFmtId="0" fontId="46" fillId="2" borderId="0" xfId="0" applyFont="1" applyFill="1" applyBorder="1" applyAlignment="1" applyProtection="1">
      <alignment horizontal="left"/>
      <protection locked="0"/>
    </xf>
    <xf numFmtId="0" fontId="18" fillId="2" borderId="21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47" fillId="2" borderId="0" xfId="0" quotePrefix="1" applyFont="1" applyFill="1" applyBorder="1" applyAlignment="1" applyProtection="1">
      <alignment horizontal="left"/>
      <protection locked="0"/>
    </xf>
    <xf numFmtId="0" fontId="27" fillId="2" borderId="18" xfId="0" applyFont="1" applyFill="1" applyBorder="1" applyProtection="1">
      <protection locked="0"/>
    </xf>
    <xf numFmtId="0" fontId="13" fillId="2" borderId="19" xfId="0" applyFont="1" applyFill="1" applyBorder="1" applyProtection="1">
      <protection locked="0"/>
    </xf>
    <xf numFmtId="0" fontId="10" fillId="2" borderId="19" xfId="0" applyFont="1" applyFill="1" applyBorder="1" applyProtection="1">
      <protection locked="0"/>
    </xf>
    <xf numFmtId="0" fontId="48" fillId="2" borderId="12" xfId="0" applyFont="1" applyFill="1" applyBorder="1" applyAlignment="1" applyProtection="1">
      <alignment horizontal="left"/>
      <protection locked="0"/>
    </xf>
    <xf numFmtId="0" fontId="48" fillId="2" borderId="0" xfId="0" quotePrefix="1" applyFont="1" applyFill="1" applyBorder="1" applyAlignment="1" applyProtection="1">
      <alignment horizontal="left"/>
      <protection locked="0"/>
    </xf>
    <xf numFmtId="0" fontId="27" fillId="2" borderId="20" xfId="0" applyFont="1" applyFill="1" applyBorder="1" applyProtection="1">
      <protection locked="0"/>
    </xf>
    <xf numFmtId="0" fontId="48" fillId="2" borderId="0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65" fillId="2" borderId="0" xfId="0" applyFont="1" applyFill="1" applyBorder="1" applyAlignment="1" applyProtection="1">
      <alignment horizontal="right"/>
      <protection locked="0"/>
    </xf>
    <xf numFmtId="2" fontId="9" fillId="2" borderId="0" xfId="0" quotePrefix="1" applyNumberFormat="1" applyFont="1" applyFill="1" applyBorder="1" applyAlignment="1" applyProtection="1">
      <alignment horizontal="right"/>
      <protection locked="0"/>
    </xf>
    <xf numFmtId="0" fontId="64" fillId="2" borderId="0" xfId="0" quotePrefix="1" applyFont="1" applyFill="1" applyBorder="1" applyAlignment="1" applyProtection="1">
      <alignment horizontal="center"/>
      <protection locked="0"/>
    </xf>
    <xf numFmtId="2" fontId="62" fillId="2" borderId="11" xfId="0" quotePrefix="1" applyNumberFormat="1" applyFont="1" applyFill="1" applyBorder="1" applyAlignment="1" applyProtection="1">
      <alignment horizontal="center"/>
      <protection locked="0"/>
    </xf>
    <xf numFmtId="0" fontId="39" fillId="2" borderId="11" xfId="0" applyFont="1" applyFill="1" applyBorder="1" applyProtection="1">
      <protection locked="0"/>
    </xf>
    <xf numFmtId="0" fontId="42" fillId="2" borderId="11" xfId="0" quotePrefix="1" applyFont="1" applyFill="1" applyBorder="1" applyAlignment="1" applyProtection="1">
      <alignment horizontal="left"/>
      <protection locked="0"/>
    </xf>
    <xf numFmtId="0" fontId="72" fillId="2" borderId="0" xfId="0" applyFont="1" applyFill="1" applyBorder="1" applyAlignment="1" applyProtection="1">
      <alignment horizontal="left"/>
      <protection locked="0"/>
    </xf>
    <xf numFmtId="168" fontId="43" fillId="2" borderId="0" xfId="0" quotePrefix="1" applyNumberFormat="1" applyFont="1" applyFill="1" applyBorder="1" applyAlignment="1" applyProtection="1">
      <alignment horizontal="left"/>
      <protection locked="0"/>
    </xf>
    <xf numFmtId="0" fontId="52" fillId="2" borderId="21" xfId="0" applyFont="1" applyFill="1" applyBorder="1" applyProtection="1">
      <protection locked="0"/>
    </xf>
    <xf numFmtId="0" fontId="63" fillId="2" borderId="0" xfId="0" applyFont="1" applyFill="1" applyProtection="1">
      <protection locked="0"/>
    </xf>
    <xf numFmtId="2" fontId="9" fillId="2" borderId="11" xfId="0" quotePrefix="1" applyNumberFormat="1" applyFont="1" applyFill="1" applyBorder="1" applyAlignment="1" applyProtection="1">
      <alignment horizontal="right"/>
      <protection locked="0"/>
    </xf>
    <xf numFmtId="0" fontId="64" fillId="2" borderId="11" xfId="0" quotePrefix="1" applyFont="1" applyFill="1" applyBorder="1" applyAlignment="1" applyProtection="1">
      <alignment horizontal="center"/>
      <protection locked="0"/>
    </xf>
    <xf numFmtId="0" fontId="67" fillId="2" borderId="11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168" fontId="51" fillId="2" borderId="0" xfId="0" applyNumberFormat="1" applyFont="1" applyFill="1" applyBorder="1" applyAlignment="1" applyProtection="1">
      <alignment horizontal="center"/>
      <protection locked="0"/>
    </xf>
    <xf numFmtId="0" fontId="25" fillId="2" borderId="0" xfId="0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10" fillId="2" borderId="20" xfId="0" applyFont="1" applyFill="1" applyBorder="1" applyProtection="1">
      <protection locked="0"/>
    </xf>
    <xf numFmtId="0" fontId="8" fillId="2" borderId="11" xfId="0" quotePrefix="1" applyFont="1" applyFill="1" applyBorder="1" applyProtection="1">
      <protection locked="0"/>
    </xf>
    <xf numFmtId="2" fontId="68" fillId="2" borderId="11" xfId="0" quotePrefix="1" applyNumberFormat="1" applyFont="1" applyFill="1" applyBorder="1" applyAlignment="1" applyProtection="1">
      <alignment horizontal="right"/>
      <protection locked="0"/>
    </xf>
    <xf numFmtId="0" fontId="8" fillId="2" borderId="0" xfId="0" quotePrefix="1" applyFont="1" applyFill="1" applyBorder="1" applyAlignment="1" applyProtection="1">
      <alignment horizontal="center"/>
      <protection locked="0"/>
    </xf>
    <xf numFmtId="0" fontId="51" fillId="2" borderId="0" xfId="0" applyFont="1" applyFill="1" applyBorder="1" applyAlignment="1" applyProtection="1">
      <alignment horizontal="center"/>
      <protection locked="0"/>
    </xf>
    <xf numFmtId="0" fontId="70" fillId="2" borderId="0" xfId="0" applyFont="1" applyFill="1" applyBorder="1" applyProtection="1">
      <protection locked="0"/>
    </xf>
    <xf numFmtId="0" fontId="8" fillId="2" borderId="0" xfId="0" quotePrefix="1" applyFont="1" applyFill="1" applyBorder="1" applyAlignment="1" applyProtection="1">
      <alignment horizontal="left"/>
      <protection locked="0"/>
    </xf>
    <xf numFmtId="165" fontId="11" fillId="2" borderId="0" xfId="2" applyFont="1" applyFill="1" applyBorder="1" applyAlignment="1" applyProtection="1">
      <alignment horizontal="right"/>
      <protection locked="0"/>
    </xf>
    <xf numFmtId="0" fontId="5" fillId="2" borderId="20" xfId="0" applyFont="1" applyFill="1" applyBorder="1" applyProtection="1">
      <protection locked="0"/>
    </xf>
    <xf numFmtId="0" fontId="71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77" fillId="2" borderId="17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65" fillId="2" borderId="5" xfId="0" applyFont="1" applyFill="1" applyBorder="1" applyAlignment="1" applyProtection="1">
      <alignment horizontal="right"/>
      <protection locked="0"/>
    </xf>
    <xf numFmtId="0" fontId="8" fillId="2" borderId="5" xfId="0" applyFont="1" applyFill="1" applyBorder="1" applyAlignment="1" applyProtection="1">
      <alignment horizontal="right"/>
      <protection locked="0"/>
    </xf>
    <xf numFmtId="0" fontId="8" fillId="2" borderId="5" xfId="0" quotePrefix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18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6" fillId="2" borderId="16" xfId="0" quotePrefix="1" applyFont="1" applyFill="1" applyBorder="1" applyProtection="1">
      <protection locked="0"/>
    </xf>
    <xf numFmtId="0" fontId="30" fillId="2" borderId="12" xfId="0" applyFont="1" applyFill="1" applyBorder="1" applyProtection="1">
      <protection locked="0"/>
    </xf>
    <xf numFmtId="0" fontId="76" fillId="2" borderId="5" xfId="0" applyFont="1" applyFill="1" applyBorder="1" applyProtection="1">
      <protection locked="0"/>
    </xf>
    <xf numFmtId="0" fontId="37" fillId="2" borderId="3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165" fontId="101" fillId="2" borderId="25" xfId="2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69" fillId="2" borderId="3" xfId="0" applyFont="1" applyFill="1" applyBorder="1" applyProtection="1">
      <protection locked="0"/>
    </xf>
    <xf numFmtId="0" fontId="69" fillId="2" borderId="0" xfId="0" applyFont="1" applyFill="1" applyBorder="1" applyProtection="1">
      <protection locked="0"/>
    </xf>
    <xf numFmtId="0" fontId="98" fillId="2" borderId="25" xfId="0" applyFont="1" applyFill="1" applyBorder="1" applyProtection="1">
      <protection locked="0"/>
    </xf>
    <xf numFmtId="0" fontId="76" fillId="2" borderId="17" xfId="0" applyFont="1" applyFill="1" applyBorder="1" applyProtection="1">
      <protection locked="0"/>
    </xf>
    <xf numFmtId="165" fontId="102" fillId="2" borderId="25" xfId="0" applyNumberFormat="1" applyFont="1" applyFill="1" applyBorder="1" applyAlignment="1" applyProtection="1">
      <alignment horizontal="right"/>
      <protection locked="0"/>
    </xf>
    <xf numFmtId="0" fontId="10" fillId="2" borderId="6" xfId="0" applyFont="1" applyFill="1" applyBorder="1" applyProtection="1">
      <protection locked="0"/>
    </xf>
    <xf numFmtId="0" fontId="10" fillId="2" borderId="7" xfId="0" applyFont="1" applyFill="1" applyBorder="1" applyProtection="1">
      <protection locked="0"/>
    </xf>
    <xf numFmtId="165" fontId="94" fillId="2" borderId="27" xfId="0" applyNumberFormat="1" applyFont="1" applyFill="1" applyBorder="1" applyAlignment="1" applyProtection="1">
      <alignment horizontal="right"/>
      <protection locked="0"/>
    </xf>
    <xf numFmtId="0" fontId="23" fillId="2" borderId="20" xfId="0" applyFont="1" applyFill="1" applyBorder="1" applyProtection="1">
      <protection locked="0"/>
    </xf>
    <xf numFmtId="0" fontId="27" fillId="2" borderId="0" xfId="0" applyFont="1" applyFill="1" applyBorder="1" applyProtection="1">
      <protection locked="0"/>
    </xf>
    <xf numFmtId="0" fontId="26" fillId="2" borderId="0" xfId="0" quotePrefix="1" applyFont="1" applyFill="1" applyBorder="1" applyAlignment="1" applyProtection="1">
      <alignment horizontal="right"/>
      <protection locked="0"/>
    </xf>
    <xf numFmtId="0" fontId="73" fillId="2" borderId="0" xfId="0" applyFont="1" applyFill="1" applyBorder="1" applyProtection="1">
      <protection locked="0"/>
    </xf>
    <xf numFmtId="1" fontId="45" fillId="2" borderId="16" xfId="0" applyNumberFormat="1" applyFont="1" applyFill="1" applyBorder="1" applyAlignment="1" applyProtection="1">
      <alignment horizontal="left"/>
      <protection locked="0"/>
    </xf>
    <xf numFmtId="0" fontId="22" fillId="2" borderId="0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0" fontId="73" fillId="2" borderId="10" xfId="0" applyFont="1" applyFill="1" applyBorder="1" applyProtection="1">
      <protection locked="0"/>
    </xf>
    <xf numFmtId="0" fontId="29" fillId="2" borderId="11" xfId="0" applyFont="1" applyFill="1" applyBorder="1" applyProtection="1">
      <protection locked="0"/>
    </xf>
    <xf numFmtId="0" fontId="73" fillId="2" borderId="11" xfId="0" applyFont="1" applyFill="1" applyBorder="1" applyProtection="1">
      <protection locked="0"/>
    </xf>
    <xf numFmtId="0" fontId="48" fillId="2" borderId="12" xfId="0" applyFont="1" applyFill="1" applyBorder="1" applyAlignment="1" applyProtection="1">
      <alignment horizontal="right"/>
      <protection locked="0"/>
    </xf>
    <xf numFmtId="0" fontId="74" fillId="2" borderId="0" xfId="0" applyFont="1" applyFill="1" applyAlignment="1" applyProtection="1">
      <alignment horizontal="left"/>
      <protection locked="0"/>
    </xf>
    <xf numFmtId="0" fontId="62" fillId="2" borderId="0" xfId="0" applyFont="1" applyFill="1" applyBorder="1" applyAlignment="1" applyProtection="1">
      <alignment horizontal="right"/>
      <protection locked="0"/>
    </xf>
    <xf numFmtId="1" fontId="9" fillId="2" borderId="0" xfId="0" quotePrefix="1" applyNumberFormat="1" applyFont="1" applyFill="1" applyBorder="1" applyAlignment="1" applyProtection="1">
      <alignment horizontal="right"/>
      <protection locked="0"/>
    </xf>
    <xf numFmtId="0" fontId="42" fillId="2" borderId="0" xfId="0" applyFont="1" applyFill="1" applyBorder="1" applyAlignment="1" applyProtection="1">
      <alignment horizontal="center"/>
      <protection locked="0"/>
    </xf>
    <xf numFmtId="0" fontId="42" fillId="2" borderId="0" xfId="0" applyFont="1" applyFill="1" applyBorder="1" applyAlignment="1" applyProtection="1">
      <alignment horizontal="left"/>
      <protection locked="0"/>
    </xf>
    <xf numFmtId="169" fontId="58" fillId="2" borderId="0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75" fillId="2" borderId="0" xfId="0" applyFont="1" applyFill="1" applyBorder="1" applyAlignment="1" applyProtection="1">
      <alignment horizontal="center"/>
      <protection locked="0"/>
    </xf>
    <xf numFmtId="0" fontId="54" fillId="2" borderId="0" xfId="0" applyFont="1" applyFill="1" applyBorder="1" applyAlignment="1" applyProtection="1">
      <alignment horizontal="left"/>
      <protection locked="0"/>
    </xf>
    <xf numFmtId="1" fontId="62" fillId="2" borderId="0" xfId="0" applyNumberFormat="1" applyFont="1" applyFill="1" applyBorder="1" applyAlignment="1" applyProtection="1">
      <alignment horizontal="left"/>
      <protection locked="0"/>
    </xf>
    <xf numFmtId="1" fontId="34" fillId="2" borderId="0" xfId="0" applyNumberFormat="1" applyFont="1" applyFill="1" applyBorder="1" applyAlignment="1" applyProtection="1">
      <alignment horizontal="left"/>
      <protection locked="0"/>
    </xf>
    <xf numFmtId="1" fontId="20" fillId="2" borderId="0" xfId="0" applyNumberFormat="1" applyFont="1" applyFill="1" applyBorder="1" applyAlignment="1" applyProtection="1">
      <alignment horizontal="center"/>
      <protection locked="0"/>
    </xf>
    <xf numFmtId="2" fontId="33" fillId="2" borderId="0" xfId="0" applyNumberFormat="1" applyFont="1" applyFill="1" applyBorder="1" applyProtection="1">
      <protection locked="0"/>
    </xf>
    <xf numFmtId="0" fontId="28" fillId="2" borderId="0" xfId="0" quotePrefix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69" fillId="2" borderId="2" xfId="0" applyFont="1" applyFill="1" applyBorder="1" applyAlignment="1" applyProtection="1">
      <alignment horizontal="left"/>
      <protection locked="0"/>
    </xf>
    <xf numFmtId="0" fontId="20" fillId="2" borderId="0" xfId="0" applyFont="1" applyFill="1" applyBorder="1" applyProtection="1">
      <protection locked="0"/>
    </xf>
    <xf numFmtId="165" fontId="94" fillId="2" borderId="28" xfId="2" applyFont="1" applyFill="1" applyBorder="1" applyAlignment="1" applyProtection="1">
      <alignment horizontal="right"/>
      <protection locked="0"/>
    </xf>
    <xf numFmtId="0" fontId="62" fillId="2" borderId="3" xfId="0" applyFont="1" applyFill="1" applyBorder="1" applyProtection="1">
      <protection locked="0"/>
    </xf>
    <xf numFmtId="0" fontId="4" fillId="2" borderId="0" xfId="0" applyFont="1" applyFill="1" applyBorder="1" applyAlignment="1" applyProtection="1">
      <protection locked="0"/>
    </xf>
    <xf numFmtId="165" fontId="102" fillId="2" borderId="25" xfId="2" applyFont="1" applyFill="1" applyBorder="1" applyAlignment="1" applyProtection="1">
      <alignment horizontal="right"/>
      <protection locked="0"/>
    </xf>
    <xf numFmtId="0" fontId="41" fillId="2" borderId="0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98" fillId="2" borderId="0" xfId="0" applyFont="1" applyFill="1" applyBorder="1" applyProtection="1">
      <protection locked="0"/>
    </xf>
    <xf numFmtId="0" fontId="20" fillId="2" borderId="17" xfId="0" applyFont="1" applyFill="1" applyBorder="1" applyProtection="1">
      <protection locked="0"/>
    </xf>
    <xf numFmtId="170" fontId="100" fillId="2" borderId="29" xfId="0" applyNumberFormat="1" applyFont="1" applyFill="1" applyBorder="1" applyAlignment="1" applyProtection="1">
      <alignment horizontal="right"/>
      <protection locked="0"/>
    </xf>
    <xf numFmtId="0" fontId="13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26" fillId="2" borderId="20" xfId="0" applyFont="1" applyFill="1" applyBorder="1" applyProtection="1">
      <protection locked="0"/>
    </xf>
    <xf numFmtId="0" fontId="26" fillId="2" borderId="21" xfId="0" quotePrefix="1" applyFont="1" applyFill="1" applyBorder="1" applyAlignment="1" applyProtection="1">
      <alignment horizontal="right"/>
      <protection locked="0"/>
    </xf>
    <xf numFmtId="0" fontId="45" fillId="2" borderId="20" xfId="0" applyFont="1" applyFill="1" applyBorder="1" applyProtection="1">
      <protection locked="0"/>
    </xf>
    <xf numFmtId="2" fontId="45" fillId="2" borderId="16" xfId="0" quotePrefix="1" applyNumberFormat="1" applyFont="1" applyFill="1" applyBorder="1" applyAlignment="1" applyProtection="1">
      <alignment horizontal="left"/>
      <protection locked="0"/>
    </xf>
    <xf numFmtId="2" fontId="46" fillId="2" borderId="21" xfId="0" quotePrefix="1" applyNumberFormat="1" applyFont="1" applyFill="1" applyBorder="1" applyAlignment="1" applyProtection="1">
      <alignment horizontal="left"/>
      <protection locked="0"/>
    </xf>
    <xf numFmtId="0" fontId="26" fillId="2" borderId="8" xfId="0" applyFont="1" applyFill="1" applyBorder="1" applyProtection="1">
      <protection locked="0"/>
    </xf>
    <xf numFmtId="0" fontId="27" fillId="2" borderId="9" xfId="0" applyFont="1" applyFill="1" applyBorder="1" applyProtection="1">
      <protection locked="0"/>
    </xf>
    <xf numFmtId="0" fontId="82" fillId="2" borderId="9" xfId="0" quotePrefix="1" applyFont="1" applyFill="1" applyBorder="1" applyAlignment="1" applyProtection="1">
      <alignment horizontal="center"/>
      <protection locked="0"/>
    </xf>
    <xf numFmtId="0" fontId="26" fillId="2" borderId="16" xfId="0" quotePrefix="1" applyFont="1" applyFill="1" applyBorder="1" applyAlignment="1" applyProtection="1">
      <alignment horizontal="right"/>
      <protection locked="0"/>
    </xf>
    <xf numFmtId="0" fontId="42" fillId="2" borderId="21" xfId="0" applyFont="1" applyFill="1" applyBorder="1" applyAlignment="1" applyProtection="1">
      <alignment horizontal="left"/>
      <protection locked="0"/>
    </xf>
    <xf numFmtId="0" fontId="86" fillId="2" borderId="0" xfId="0" applyFont="1" applyFill="1" applyAlignment="1" applyProtection="1">
      <alignment horizontal="left"/>
      <protection locked="0"/>
    </xf>
    <xf numFmtId="2" fontId="45" fillId="2" borderId="0" xfId="0" quotePrefix="1" applyNumberFormat="1" applyFont="1" applyFill="1" applyBorder="1" applyAlignment="1" applyProtection="1">
      <alignment horizontal="right"/>
      <protection locked="0"/>
    </xf>
    <xf numFmtId="0" fontId="84" fillId="2" borderId="0" xfId="0" quotePrefix="1" applyFont="1" applyFill="1" applyBorder="1" applyAlignment="1" applyProtection="1">
      <alignment horizontal="center"/>
      <protection locked="0"/>
    </xf>
    <xf numFmtId="2" fontId="46" fillId="2" borderId="0" xfId="0" quotePrefix="1" applyNumberFormat="1" applyFont="1" applyFill="1" applyBorder="1" applyAlignment="1" applyProtection="1">
      <alignment horizontal="left"/>
      <protection locked="0"/>
    </xf>
    <xf numFmtId="0" fontId="0" fillId="2" borderId="0" xfId="0" quotePrefix="1" applyFill="1" applyBorder="1" applyProtection="1">
      <protection locked="0"/>
    </xf>
    <xf numFmtId="0" fontId="25" fillId="2" borderId="0" xfId="0" applyFont="1" applyFill="1" applyAlignment="1" applyProtection="1">
      <alignment horizontal="left"/>
      <protection locked="0"/>
    </xf>
    <xf numFmtId="0" fontId="81" fillId="2" borderId="0" xfId="0" applyFont="1" applyFill="1" applyAlignment="1" applyProtection="1">
      <alignment horizontal="left"/>
      <protection locked="0"/>
    </xf>
    <xf numFmtId="0" fontId="88" fillId="2" borderId="0" xfId="0" applyFont="1" applyFill="1" applyProtection="1">
      <protection locked="0"/>
    </xf>
    <xf numFmtId="0" fontId="0" fillId="2" borderId="0" xfId="0" applyFill="1"/>
    <xf numFmtId="0" fontId="87" fillId="2" borderId="0" xfId="0" applyFont="1" applyFill="1" applyProtection="1">
      <protection locked="0"/>
    </xf>
    <xf numFmtId="166" fontId="67" fillId="2" borderId="0" xfId="0" applyNumberFormat="1" applyFont="1" applyFill="1" applyProtection="1">
      <protection locked="0"/>
    </xf>
    <xf numFmtId="0" fontId="104" fillId="2" borderId="0" xfId="0" applyFont="1" applyFill="1" applyAlignment="1" applyProtection="1">
      <alignment horizontal="center"/>
      <protection locked="0"/>
    </xf>
    <xf numFmtId="0" fontId="25" fillId="2" borderId="0" xfId="0" applyFont="1" applyFill="1" applyProtection="1">
      <protection locked="0"/>
    </xf>
    <xf numFmtId="0" fontId="103" fillId="2" borderId="0" xfId="0" applyFont="1" applyFill="1" applyAlignment="1" applyProtection="1">
      <alignment horizontal="right"/>
      <protection locked="0"/>
    </xf>
    <xf numFmtId="0" fontId="88" fillId="2" borderId="0" xfId="0" applyFont="1" applyFill="1" applyAlignment="1" applyProtection="1">
      <alignment horizontal="center"/>
      <protection locked="0"/>
    </xf>
    <xf numFmtId="166" fontId="52" fillId="2" borderId="0" xfId="0" applyNumberFormat="1" applyFont="1" applyFill="1" applyProtection="1">
      <protection locked="0"/>
    </xf>
    <xf numFmtId="166" fontId="66" fillId="2" borderId="0" xfId="0" applyNumberFormat="1" applyFont="1" applyFill="1" applyProtection="1">
      <protection locked="0"/>
    </xf>
    <xf numFmtId="0" fontId="74" fillId="2" borderId="0" xfId="0" applyFont="1" applyFill="1" applyAlignment="1" applyProtection="1">
      <alignment horizontal="center"/>
      <protection locked="0"/>
    </xf>
    <xf numFmtId="0" fontId="74" fillId="2" borderId="0" xfId="0" applyFont="1" applyFill="1" applyAlignment="1" applyProtection="1">
      <alignment horizontal="right"/>
      <protection locked="0"/>
    </xf>
    <xf numFmtId="0" fontId="25" fillId="2" borderId="0" xfId="0" applyFont="1" applyFill="1" applyAlignment="1" applyProtection="1">
      <alignment horizontal="right"/>
      <protection locked="0"/>
    </xf>
    <xf numFmtId="0" fontId="52" fillId="2" borderId="0" xfId="0" applyFont="1" applyFill="1" applyProtection="1">
      <protection locked="0"/>
    </xf>
    <xf numFmtId="0" fontId="105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center"/>
      <protection locked="0"/>
    </xf>
    <xf numFmtId="0" fontId="89" fillId="2" borderId="0" xfId="0" applyFont="1" applyFill="1" applyProtection="1">
      <protection locked="0"/>
    </xf>
    <xf numFmtId="0" fontId="90" fillId="2" borderId="0" xfId="0" applyFont="1" applyFill="1" applyAlignment="1" applyProtection="1">
      <alignment horizontal="right"/>
      <protection locked="0"/>
    </xf>
    <xf numFmtId="0" fontId="90" fillId="2" borderId="0" xfId="0" applyFont="1" applyFill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93" fillId="2" borderId="0" xfId="0" applyFont="1" applyFill="1" applyBorder="1" applyAlignment="1" applyProtection="1">
      <alignment horizontal="center"/>
      <protection locked="0"/>
    </xf>
    <xf numFmtId="0" fontId="92" fillId="2" borderId="0" xfId="0" applyFont="1" applyFill="1" applyProtection="1">
      <protection locked="0"/>
    </xf>
    <xf numFmtId="0" fontId="91" fillId="2" borderId="0" xfId="0" applyFont="1" applyFill="1" applyBorder="1" applyProtection="1">
      <protection locked="0"/>
    </xf>
    <xf numFmtId="0" fontId="39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21" fillId="2" borderId="0" xfId="0" applyFont="1" applyFill="1" applyBorder="1" applyProtection="1">
      <protection locked="0"/>
    </xf>
    <xf numFmtId="0" fontId="63" fillId="2" borderId="0" xfId="0" applyFont="1" applyFill="1" applyBorder="1" applyProtection="1">
      <protection locked="0"/>
    </xf>
    <xf numFmtId="0" fontId="89" fillId="2" borderId="0" xfId="0" applyFont="1" applyFill="1" applyBorder="1" applyProtection="1">
      <protection locked="0"/>
    </xf>
    <xf numFmtId="0" fontId="92" fillId="2" borderId="0" xfId="0" applyFont="1" applyFill="1" applyBorder="1" applyProtection="1">
      <protection locked="0"/>
    </xf>
    <xf numFmtId="0" fontId="26" fillId="2" borderId="30" xfId="0" applyFont="1" applyFill="1" applyBorder="1" applyProtection="1">
      <protection locked="0"/>
    </xf>
    <xf numFmtId="0" fontId="26" fillId="2" borderId="31" xfId="0" applyFont="1" applyFill="1" applyBorder="1" applyProtection="1">
      <protection locked="0"/>
    </xf>
    <xf numFmtId="0" fontId="18" fillId="2" borderId="30" xfId="0" applyFont="1" applyFill="1" applyBorder="1" applyProtection="1">
      <protection locked="0"/>
    </xf>
    <xf numFmtId="0" fontId="38" fillId="2" borderId="0" xfId="1" applyFill="1" applyBorder="1" applyAlignment="1" applyProtection="1">
      <protection locked="0"/>
    </xf>
  </cellXfs>
  <cellStyles count="4">
    <cellStyle name="Hiperlink" xfId="1" builtinId="8"/>
    <cellStyle name="Moeda" xfId="2" builtinId="4"/>
    <cellStyle name="Normal" xfId="0" builtinId="0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3"/>
  <sheetViews>
    <sheetView tabSelected="1" workbookViewId="0">
      <selection activeCell="R6" sqref="R6"/>
    </sheetView>
  </sheetViews>
  <sheetFormatPr defaultRowHeight="15.75" x14ac:dyDescent="0.25"/>
  <cols>
    <col min="1" max="1" width="7.625" style="1" customWidth="1"/>
    <col min="2" max="2" width="3.375" style="7" customWidth="1"/>
    <col min="3" max="3" width="8.5" style="7" customWidth="1"/>
    <col min="4" max="4" width="3.875" style="7" customWidth="1"/>
    <col min="5" max="5" width="9.5" style="7" customWidth="1"/>
    <col min="6" max="6" width="3.875" style="7" customWidth="1"/>
    <col min="7" max="7" width="9.625" style="7" customWidth="1"/>
    <col min="8" max="8" width="8.625" style="7" customWidth="1"/>
    <col min="9" max="9" width="9.625" style="7" customWidth="1"/>
    <col min="10" max="10" width="13.25" style="7" customWidth="1"/>
    <col min="11" max="11" width="4.5" style="7" customWidth="1"/>
    <col min="12" max="12" width="8.875" style="7" customWidth="1"/>
    <col min="13" max="13" width="9.25" style="7" customWidth="1"/>
    <col min="14" max="14" width="5.125" style="7" customWidth="1"/>
    <col min="15" max="15" width="6.625" style="6" customWidth="1"/>
    <col min="16" max="16" width="4.75" style="8" customWidth="1"/>
    <col min="17" max="26" width="9" style="8"/>
    <col min="27" max="16384" width="9" style="7"/>
  </cols>
  <sheetData>
    <row r="1" spans="2:37" ht="20.25" x14ac:dyDescent="0.3">
      <c r="B1" s="2" t="s">
        <v>0</v>
      </c>
      <c r="C1" s="2"/>
      <c r="D1" s="2"/>
      <c r="E1" s="2"/>
      <c r="F1" s="295" t="s">
        <v>104</v>
      </c>
      <c r="Q1" s="9"/>
      <c r="R1" s="9"/>
      <c r="S1" s="9"/>
      <c r="T1" s="9"/>
      <c r="U1" s="9"/>
      <c r="V1" s="9"/>
      <c r="W1" s="9"/>
      <c r="X1" s="9"/>
      <c r="Y1" s="9"/>
      <c r="Z1" s="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2:37" ht="18.75" customHeight="1" x14ac:dyDescent="0.3">
      <c r="F2" s="2"/>
      <c r="G2" s="2"/>
      <c r="H2" s="3" t="s">
        <v>34</v>
      </c>
      <c r="I2" s="4"/>
      <c r="J2" s="5" t="s">
        <v>74</v>
      </c>
      <c r="K2" s="6"/>
      <c r="Q2" s="9"/>
      <c r="R2" s="9"/>
      <c r="S2" s="9"/>
      <c r="T2" s="9"/>
      <c r="U2" s="9"/>
      <c r="V2" s="9"/>
      <c r="W2" s="9"/>
      <c r="X2" s="9"/>
      <c r="Y2" s="9"/>
      <c r="Z2" s="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2:37" ht="15" customHeight="1" x14ac:dyDescent="0.3">
      <c r="C3" s="2"/>
      <c r="D3" s="2"/>
      <c r="E3" s="2"/>
      <c r="F3" s="2"/>
      <c r="G3" s="2"/>
      <c r="H3" s="10" t="s">
        <v>91</v>
      </c>
      <c r="I3" s="11"/>
      <c r="J3" s="12"/>
      <c r="K3" s="13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2:37" ht="18" customHeight="1" thickBot="1" x14ac:dyDescent="0.35">
      <c r="B4" s="2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2:37" ht="18.75" thickBot="1" x14ac:dyDescent="0.3">
      <c r="B5" s="16"/>
      <c r="C5" s="16" t="s">
        <v>68</v>
      </c>
      <c r="D5" s="17"/>
      <c r="E5" s="17"/>
      <c r="F5" s="17"/>
      <c r="G5" s="17"/>
      <c r="H5" s="17"/>
      <c r="I5" s="17"/>
      <c r="J5" s="18" t="s">
        <v>72</v>
      </c>
      <c r="K5" s="17"/>
      <c r="L5" s="17"/>
      <c r="M5" s="17"/>
      <c r="N5" s="17"/>
      <c r="O5" s="19"/>
      <c r="P5" s="20"/>
      <c r="Q5" s="9"/>
      <c r="R5" s="9"/>
      <c r="S5" s="9"/>
      <c r="T5" s="9"/>
      <c r="U5" s="9"/>
      <c r="V5" s="9"/>
      <c r="W5" s="9"/>
      <c r="X5" s="9"/>
      <c r="Y5" s="9"/>
      <c r="Z5" s="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2:37" ht="18.75" thickBot="1" x14ac:dyDescent="0.3">
      <c r="B6" s="21"/>
      <c r="C6" s="22"/>
      <c r="D6" s="22"/>
      <c r="E6" s="22"/>
      <c r="F6" s="22"/>
      <c r="G6" s="23" t="s">
        <v>39</v>
      </c>
      <c r="H6" s="22"/>
      <c r="I6" s="22"/>
      <c r="J6" s="24"/>
      <c r="K6" s="25"/>
      <c r="L6" s="25"/>
      <c r="M6" s="25"/>
      <c r="N6" s="25"/>
      <c r="O6" s="26"/>
      <c r="Q6" s="9"/>
      <c r="R6" s="9"/>
      <c r="S6" s="9"/>
      <c r="T6" s="9"/>
      <c r="U6" s="9"/>
      <c r="V6" s="9"/>
      <c r="W6" s="9"/>
      <c r="X6" s="9"/>
      <c r="Y6" s="9"/>
      <c r="Z6" s="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2:37" ht="18.75" thickBot="1" x14ac:dyDescent="0.3">
      <c r="B7" s="27" t="s">
        <v>70</v>
      </c>
      <c r="C7" s="28"/>
      <c r="D7" s="28"/>
      <c r="E7" s="28"/>
      <c r="F7" s="28"/>
      <c r="G7" s="28"/>
      <c r="H7" s="28"/>
      <c r="I7" s="28"/>
      <c r="J7" s="29">
        <v>2500</v>
      </c>
      <c r="K7" s="30"/>
      <c r="L7" s="30"/>
      <c r="M7" s="30"/>
      <c r="N7" s="30"/>
      <c r="O7" s="31"/>
      <c r="Q7" s="9"/>
      <c r="R7" s="9"/>
      <c r="S7" s="9"/>
      <c r="T7" s="9"/>
      <c r="U7" s="9"/>
      <c r="V7" s="9"/>
      <c r="W7" s="9"/>
      <c r="X7" s="9"/>
      <c r="Y7" s="9"/>
      <c r="Z7" s="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2:37" ht="8.25" customHeight="1" thickBot="1" x14ac:dyDescent="0.3">
      <c r="B8" s="32"/>
      <c r="C8" s="28"/>
      <c r="D8" s="28"/>
      <c r="E8" s="28"/>
      <c r="F8" s="28"/>
      <c r="G8" s="28"/>
      <c r="H8" s="28"/>
      <c r="I8" s="28"/>
      <c r="J8" s="33"/>
      <c r="K8" s="30"/>
      <c r="L8" s="34"/>
      <c r="M8" s="15"/>
      <c r="N8" s="15"/>
      <c r="O8" s="35"/>
      <c r="Q8" s="9"/>
      <c r="R8" s="9"/>
      <c r="S8" s="9"/>
      <c r="T8" s="9"/>
      <c r="U8" s="9"/>
      <c r="V8" s="9"/>
      <c r="W8" s="9"/>
      <c r="X8" s="9"/>
      <c r="Y8" s="9"/>
      <c r="Z8" s="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2:37" ht="18.75" thickBot="1" x14ac:dyDescent="0.3">
      <c r="B9" s="36" t="s">
        <v>42</v>
      </c>
      <c r="C9" s="37"/>
      <c r="D9" s="28"/>
      <c r="E9" s="28"/>
      <c r="F9" s="28"/>
      <c r="G9" s="28"/>
      <c r="H9" s="28"/>
      <c r="I9" s="28"/>
      <c r="J9" s="38">
        <v>1000</v>
      </c>
      <c r="K9" s="30"/>
      <c r="L9" s="39"/>
      <c r="M9" s="34"/>
      <c r="N9" s="34"/>
      <c r="O9" s="40"/>
      <c r="Q9" s="9"/>
      <c r="R9" s="9"/>
      <c r="S9" s="9"/>
      <c r="T9" s="9"/>
      <c r="U9" s="9"/>
      <c r="V9" s="9"/>
      <c r="W9" s="9"/>
      <c r="X9" s="9"/>
      <c r="Y9" s="9"/>
      <c r="Z9" s="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2:37" ht="9.75" customHeight="1" thickBot="1" x14ac:dyDescent="0.3">
      <c r="B10" s="32"/>
      <c r="C10" s="28"/>
      <c r="D10" s="28"/>
      <c r="E10" s="28"/>
      <c r="F10" s="28"/>
      <c r="G10" s="28"/>
      <c r="H10" s="28"/>
      <c r="I10" s="28"/>
      <c r="J10" s="33"/>
      <c r="K10" s="14"/>
      <c r="L10" s="39"/>
      <c r="M10" s="14"/>
      <c r="N10" s="14"/>
      <c r="O10" s="41"/>
      <c r="Q10" s="9"/>
      <c r="R10" s="9"/>
      <c r="S10" s="9"/>
      <c r="T10" s="9"/>
      <c r="U10" s="9"/>
      <c r="V10" s="9"/>
      <c r="W10" s="9"/>
      <c r="X10" s="9"/>
      <c r="Y10" s="9"/>
      <c r="Z10" s="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2:37" ht="18.75" thickBot="1" x14ac:dyDescent="0.3">
      <c r="B11" s="42" t="s">
        <v>37</v>
      </c>
      <c r="C11" s="28"/>
      <c r="D11" s="28"/>
      <c r="E11" s="28"/>
      <c r="F11" s="28"/>
      <c r="G11" s="28"/>
      <c r="H11" s="28"/>
      <c r="I11" s="28"/>
      <c r="J11" s="43">
        <v>6.6</v>
      </c>
      <c r="K11" s="44" t="s">
        <v>2</v>
      </c>
      <c r="L11" s="45"/>
      <c r="M11" s="46"/>
      <c r="N11" s="46"/>
      <c r="O11" s="40"/>
      <c r="Q11" s="9"/>
      <c r="R11" s="9"/>
      <c r="S11" s="9"/>
      <c r="T11" s="9"/>
      <c r="U11" s="9"/>
      <c r="V11" s="9"/>
      <c r="W11" s="9"/>
      <c r="X11" s="9"/>
      <c r="Y11" s="9"/>
      <c r="Z11" s="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2:37" ht="9.75" customHeight="1" thickBot="1" x14ac:dyDescent="0.3">
      <c r="B12" s="47"/>
      <c r="C12" s="14"/>
      <c r="D12" s="14"/>
      <c r="E12" s="14"/>
      <c r="F12" s="14"/>
      <c r="G12" s="14"/>
      <c r="H12" s="14"/>
      <c r="I12" s="14"/>
      <c r="J12" s="48"/>
      <c r="K12" s="14"/>
      <c r="L12" s="39"/>
      <c r="M12" s="14"/>
      <c r="N12" s="14"/>
      <c r="O12" s="49"/>
      <c r="Q12" s="9"/>
      <c r="R12" s="9"/>
      <c r="S12" s="9"/>
      <c r="T12" s="9"/>
      <c r="U12" s="9"/>
      <c r="V12" s="9"/>
      <c r="W12" s="9"/>
      <c r="X12" s="9"/>
      <c r="Y12" s="9"/>
      <c r="Z12" s="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2:37" ht="18.75" thickBot="1" x14ac:dyDescent="0.3">
      <c r="B13" s="50" t="s">
        <v>38</v>
      </c>
      <c r="C13" s="51"/>
      <c r="D13" s="52"/>
      <c r="E13" s="52"/>
      <c r="F13" s="52"/>
      <c r="G13" s="52"/>
      <c r="H13" s="52"/>
      <c r="I13" s="52"/>
      <c r="J13" s="53">
        <v>1</v>
      </c>
      <c r="K13" s="51" t="s">
        <v>30</v>
      </c>
      <c r="L13" s="54"/>
      <c r="M13" s="55"/>
      <c r="N13" s="55"/>
      <c r="O13" s="40"/>
      <c r="Q13" s="9"/>
      <c r="R13" s="9"/>
      <c r="S13" s="9"/>
      <c r="T13" s="9"/>
      <c r="U13" s="9"/>
      <c r="V13" s="9"/>
      <c r="W13" s="9"/>
      <c r="X13" s="9"/>
      <c r="Y13" s="9"/>
      <c r="Z13" s="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2:37" ht="22.5" customHeight="1" thickBot="1" x14ac:dyDescent="0.3">
      <c r="B14" s="47"/>
      <c r="C14" s="14"/>
      <c r="D14" s="14"/>
      <c r="E14" s="14"/>
      <c r="F14" s="14"/>
      <c r="G14" s="14"/>
      <c r="H14" s="14"/>
      <c r="I14" s="14"/>
      <c r="J14" s="48"/>
      <c r="K14" s="14"/>
      <c r="L14" s="14"/>
      <c r="M14" s="30"/>
      <c r="N14" s="30"/>
      <c r="O14" s="56"/>
      <c r="Q14" s="9"/>
      <c r="R14" s="9"/>
      <c r="S14" s="9"/>
      <c r="T14" s="9"/>
      <c r="U14" s="9"/>
      <c r="V14" s="9"/>
      <c r="W14" s="9"/>
      <c r="X14" s="9"/>
      <c r="Y14" s="9"/>
      <c r="Z14" s="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2:37" ht="18.75" thickBot="1" x14ac:dyDescent="0.3">
      <c r="B15" s="57" t="s">
        <v>3</v>
      </c>
      <c r="C15" s="58"/>
      <c r="D15" s="58"/>
      <c r="E15" s="58"/>
      <c r="F15" s="59"/>
      <c r="G15" s="58"/>
      <c r="H15" s="58"/>
      <c r="I15" s="58"/>
      <c r="J15" s="60">
        <f>(J7-J9)*(J11/100)/(1-(1+J11/100)^(-J13))</f>
        <v>1598.999999999998</v>
      </c>
      <c r="K15" s="61" t="s">
        <v>19</v>
      </c>
      <c r="L15" s="62"/>
      <c r="M15" s="17"/>
      <c r="N15" s="17"/>
      <c r="O15" s="63"/>
      <c r="Q15" s="9"/>
      <c r="R15" s="9"/>
      <c r="S15" s="9"/>
      <c r="T15" s="9"/>
      <c r="U15" s="9"/>
      <c r="V15" s="9"/>
      <c r="W15" s="9"/>
      <c r="X15" s="9"/>
      <c r="Y15" s="9"/>
      <c r="Z15" s="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2:37" ht="22.5" customHeight="1" x14ac:dyDescent="0.25">
      <c r="B16" s="64" t="s">
        <v>22</v>
      </c>
      <c r="C16" s="65"/>
      <c r="D16" s="66" t="s">
        <v>35</v>
      </c>
      <c r="E16" s="67"/>
      <c r="F16" s="68"/>
      <c r="G16" s="69" t="s">
        <v>50</v>
      </c>
      <c r="H16" s="70"/>
      <c r="I16" s="70"/>
      <c r="J16" s="71"/>
      <c r="K16" s="72" t="s">
        <v>32</v>
      </c>
      <c r="L16" s="73">
        <f>J7-J9</f>
        <v>1500</v>
      </c>
      <c r="M16" s="30"/>
      <c r="N16" s="30"/>
      <c r="O16" s="56"/>
      <c r="Q16" s="9"/>
      <c r="R16" s="9"/>
      <c r="S16" s="9"/>
      <c r="T16" s="9"/>
      <c r="U16" s="9"/>
      <c r="V16" s="9"/>
      <c r="W16" s="9"/>
      <c r="X16" s="9"/>
      <c r="Y16" s="9"/>
      <c r="Z16" s="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ht="14.25" customHeight="1" x14ac:dyDescent="0.3">
      <c r="B17" s="74" t="s">
        <v>36</v>
      </c>
      <c r="C17" s="75"/>
      <c r="D17" s="75"/>
      <c r="E17" s="76"/>
      <c r="F17" s="77"/>
      <c r="G17" s="78" t="s">
        <v>51</v>
      </c>
      <c r="H17" s="77"/>
      <c r="I17" s="77"/>
      <c r="J17" s="79"/>
      <c r="K17" s="80" t="s">
        <v>32</v>
      </c>
      <c r="L17" s="81" t="s">
        <v>33</v>
      </c>
      <c r="M17" s="30"/>
      <c r="N17" s="30"/>
      <c r="O17" s="56"/>
      <c r="Q17" s="9"/>
      <c r="R17" s="9"/>
      <c r="S17" s="9"/>
      <c r="T17" s="9"/>
      <c r="U17" s="9"/>
      <c r="V17" s="9"/>
      <c r="W17" s="9"/>
      <c r="X17" s="9"/>
      <c r="Y17" s="9"/>
      <c r="Z17" s="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16.5" customHeight="1" x14ac:dyDescent="0.25">
      <c r="B18" s="64" t="s">
        <v>23</v>
      </c>
      <c r="C18" s="65"/>
      <c r="D18" s="82" t="s">
        <v>45</v>
      </c>
      <c r="E18" s="67"/>
      <c r="F18" s="68"/>
      <c r="G18" s="83" t="s">
        <v>52</v>
      </c>
      <c r="H18" s="77"/>
      <c r="I18" s="77"/>
      <c r="J18" s="79"/>
      <c r="K18" s="80" t="s">
        <v>32</v>
      </c>
      <c r="L18" s="84">
        <f>J11/100</f>
        <v>6.6000000000000003E-2</v>
      </c>
      <c r="M18" s="30"/>
      <c r="N18" s="30"/>
      <c r="O18" s="56"/>
      <c r="Q18" s="9"/>
      <c r="R18" s="9"/>
      <c r="S18" s="9"/>
      <c r="T18" s="9"/>
      <c r="U18" s="9"/>
      <c r="V18" s="9"/>
      <c r="W18" s="9"/>
      <c r="X18" s="9"/>
      <c r="Y18" s="9"/>
      <c r="Z18" s="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16.5" customHeight="1" x14ac:dyDescent="0.25">
      <c r="B19" s="85" t="s">
        <v>46</v>
      </c>
      <c r="C19" s="75"/>
      <c r="D19" s="75"/>
      <c r="E19" s="76"/>
      <c r="F19" s="77"/>
      <c r="G19" s="86" t="s">
        <v>53</v>
      </c>
      <c r="H19" s="75"/>
      <c r="I19" s="75"/>
      <c r="J19" s="75"/>
      <c r="K19" s="87" t="s">
        <v>32</v>
      </c>
      <c r="L19" s="88">
        <f>J13</f>
        <v>1</v>
      </c>
      <c r="M19" s="14"/>
      <c r="N19" s="14"/>
      <c r="O19" s="56"/>
      <c r="Q19" s="9"/>
      <c r="R19" s="9"/>
      <c r="S19" s="9"/>
      <c r="T19" s="9"/>
      <c r="U19" s="9"/>
      <c r="V19" s="9"/>
      <c r="W19" s="9"/>
      <c r="X19" s="9"/>
      <c r="Y19" s="9"/>
      <c r="Z19" s="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s="93" customFormat="1" ht="12.75" x14ac:dyDescent="0.2">
      <c r="A20" s="89"/>
      <c r="B20" s="90" t="s">
        <v>24</v>
      </c>
      <c r="C20" s="91"/>
      <c r="D20" s="91"/>
      <c r="E20" s="91"/>
      <c r="F20" s="91"/>
      <c r="G20" s="91"/>
      <c r="H20" s="91"/>
      <c r="I20" s="92">
        <f xml:space="preserve"> - J13</f>
        <v>-1</v>
      </c>
      <c r="J20" s="91"/>
      <c r="K20" s="91"/>
      <c r="L20" s="91"/>
      <c r="O20" s="94"/>
    </row>
    <row r="21" spans="1:37" s="93" customFormat="1" ht="18" x14ac:dyDescent="0.25">
      <c r="A21" s="89"/>
      <c r="B21" s="95" t="s">
        <v>47</v>
      </c>
      <c r="C21" s="96">
        <f>J7-J9</f>
        <v>1500</v>
      </c>
      <c r="D21" s="97" t="s">
        <v>25</v>
      </c>
      <c r="E21" s="98">
        <f>J11/100</f>
        <v>6.6000000000000003E-2</v>
      </c>
      <c r="F21" s="98"/>
      <c r="G21" s="99" t="s">
        <v>48</v>
      </c>
      <c r="H21" s="100">
        <f>J11/100</f>
        <v>6.6000000000000003E-2</v>
      </c>
      <c r="I21" s="101" t="s">
        <v>49</v>
      </c>
      <c r="J21" s="91"/>
      <c r="K21" s="91"/>
      <c r="L21" s="91"/>
      <c r="O21" s="94"/>
    </row>
    <row r="22" spans="1:37" s="93" customFormat="1" ht="22.5" customHeight="1" x14ac:dyDescent="0.25">
      <c r="A22" s="89"/>
      <c r="B22" s="95" t="s">
        <v>26</v>
      </c>
      <c r="C22" s="102">
        <f>C21*E21</f>
        <v>99</v>
      </c>
      <c r="D22" s="103" t="s">
        <v>31</v>
      </c>
      <c r="E22" s="306"/>
      <c r="F22" s="91"/>
      <c r="G22" s="104">
        <f>(1+E21)^(I20)</f>
        <v>0.9380863039399624</v>
      </c>
      <c r="H22" s="105" t="s">
        <v>28</v>
      </c>
      <c r="I22" s="91"/>
      <c r="J22" s="91"/>
      <c r="K22" s="91"/>
      <c r="L22" s="91"/>
      <c r="O22" s="94"/>
    </row>
    <row r="23" spans="1:37" s="93" customFormat="1" x14ac:dyDescent="0.25">
      <c r="A23" s="89"/>
      <c r="B23" s="95" t="s">
        <v>29</v>
      </c>
      <c r="C23" s="102">
        <f>C22</f>
        <v>99</v>
      </c>
      <c r="D23" s="103" t="s">
        <v>27</v>
      </c>
      <c r="E23" s="106">
        <f>1-G22</f>
        <v>6.1913696060037604E-2</v>
      </c>
      <c r="F23" s="106"/>
      <c r="G23" s="91"/>
      <c r="H23" s="91"/>
      <c r="I23" s="91"/>
      <c r="J23" s="91"/>
      <c r="K23" s="91"/>
      <c r="L23" s="91"/>
      <c r="O23" s="94"/>
    </row>
    <row r="24" spans="1:37" s="93" customFormat="1" ht="16.5" thickBot="1" x14ac:dyDescent="0.3">
      <c r="A24" s="89"/>
      <c r="B24" s="95" t="s">
        <v>26</v>
      </c>
      <c r="C24" s="107">
        <f>C23/E23</f>
        <v>1598.999999999998</v>
      </c>
      <c r="D24" s="108"/>
      <c r="E24" s="91"/>
      <c r="F24" s="91"/>
      <c r="G24" s="91"/>
      <c r="H24" s="91"/>
      <c r="I24" s="91"/>
      <c r="J24" s="91"/>
      <c r="K24" s="91"/>
      <c r="L24" s="91"/>
      <c r="O24" s="310"/>
    </row>
    <row r="25" spans="1:37" s="110" customFormat="1" ht="16.5" thickBot="1" x14ac:dyDescent="0.3">
      <c r="A25" s="109"/>
      <c r="C25" s="111"/>
      <c r="D25" s="112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</row>
    <row r="26" spans="1:37" s="118" customFormat="1" ht="20.25" x14ac:dyDescent="0.3">
      <c r="A26" s="113"/>
      <c r="B26" s="114" t="s">
        <v>0</v>
      </c>
      <c r="C26" s="115"/>
      <c r="D26" s="116"/>
      <c r="E26" s="117"/>
      <c r="F26" s="117"/>
      <c r="G26" s="117"/>
      <c r="H26" s="117"/>
      <c r="I26" s="117"/>
      <c r="J26" s="117"/>
      <c r="K26" s="117"/>
      <c r="L26" s="117"/>
      <c r="O26" s="311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</row>
    <row r="27" spans="1:37" s="93" customFormat="1" ht="20.25" x14ac:dyDescent="0.3">
      <c r="A27" s="119"/>
      <c r="B27" s="120" t="s">
        <v>1</v>
      </c>
      <c r="C27" s="14"/>
      <c r="D27" s="108"/>
      <c r="E27" s="91"/>
      <c r="F27" s="91"/>
      <c r="G27" s="91"/>
      <c r="H27" s="91"/>
      <c r="I27" s="91"/>
      <c r="L27" s="3" t="s">
        <v>34</v>
      </c>
      <c r="M27" s="121"/>
      <c r="N27" s="4" t="s">
        <v>74</v>
      </c>
      <c r="O27" s="122"/>
    </row>
    <row r="28" spans="1:37" s="128" customFormat="1" ht="16.5" customHeight="1" thickBot="1" x14ac:dyDescent="0.35">
      <c r="A28" s="123"/>
      <c r="B28" s="124"/>
      <c r="C28" s="125"/>
      <c r="D28" s="126"/>
      <c r="E28" s="127"/>
      <c r="F28" s="127"/>
      <c r="G28" s="127"/>
      <c r="H28" s="127"/>
      <c r="I28" s="127"/>
      <c r="L28" s="10" t="s">
        <v>90</v>
      </c>
      <c r="M28" s="11"/>
      <c r="N28" s="11"/>
      <c r="O28" s="12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</row>
    <row r="29" spans="1:37" ht="18.75" thickBot="1" x14ac:dyDescent="0.3">
      <c r="A29" s="129"/>
      <c r="B29" s="16" t="s">
        <v>69</v>
      </c>
      <c r="C29" s="17"/>
      <c r="D29" s="17"/>
      <c r="E29" s="17"/>
      <c r="F29" s="17"/>
      <c r="G29" s="17"/>
      <c r="H29" s="17"/>
      <c r="I29" s="130" t="s">
        <v>73</v>
      </c>
      <c r="J29" s="131"/>
      <c r="K29" s="131"/>
      <c r="L29" s="132"/>
      <c r="M29" s="132"/>
      <c r="N29" s="132"/>
      <c r="O29" s="312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8.75" thickBot="1" x14ac:dyDescent="0.3">
      <c r="A30" s="129"/>
      <c r="B30" s="134"/>
      <c r="C30" s="30"/>
      <c r="D30" s="30"/>
      <c r="E30" s="30"/>
      <c r="F30" s="30"/>
      <c r="G30" s="55" t="s">
        <v>39</v>
      </c>
      <c r="H30" s="30"/>
      <c r="I30" s="30"/>
      <c r="J30" s="20"/>
      <c r="K30" s="20"/>
      <c r="L30" s="20"/>
      <c r="M30" s="20"/>
      <c r="N30" s="20"/>
      <c r="O30" s="163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8.75" hidden="1" thickBot="1" x14ac:dyDescent="0.3">
      <c r="A31" s="129"/>
      <c r="B31" s="134"/>
      <c r="C31" s="30"/>
      <c r="D31" s="30"/>
      <c r="E31" s="30"/>
      <c r="F31" s="30"/>
      <c r="G31" s="30"/>
      <c r="H31" s="30"/>
      <c r="I31" s="30"/>
      <c r="J31" s="20"/>
      <c r="K31" s="20"/>
      <c r="L31" s="20"/>
      <c r="M31" s="20"/>
      <c r="N31" s="20"/>
      <c r="O31" s="56"/>
      <c r="Q31" s="9"/>
      <c r="R31" s="9"/>
      <c r="S31" s="9"/>
      <c r="T31" s="9"/>
      <c r="U31" s="9"/>
      <c r="V31" s="9"/>
      <c r="W31" s="9"/>
      <c r="X31" s="9"/>
      <c r="Y31" s="9"/>
      <c r="Z31" s="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ht="18.75" hidden="1" thickBot="1" x14ac:dyDescent="0.3">
      <c r="B32" s="134"/>
      <c r="C32" s="30"/>
      <c r="D32" s="30"/>
      <c r="E32" s="30"/>
      <c r="F32" s="30"/>
      <c r="G32" s="30"/>
      <c r="H32" s="30"/>
      <c r="I32" s="30"/>
      <c r="J32" s="135"/>
      <c r="K32" s="30"/>
      <c r="L32" s="30"/>
      <c r="M32" s="30"/>
      <c r="N32" s="30"/>
      <c r="O32" s="56"/>
      <c r="Q32" s="9"/>
      <c r="R32" s="9"/>
      <c r="S32" s="9"/>
      <c r="T32" s="9"/>
      <c r="U32" s="9"/>
      <c r="V32" s="9"/>
      <c r="W32" s="9"/>
      <c r="X32" s="9"/>
      <c r="Y32" s="9"/>
      <c r="Z32" s="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ht="18.75" thickBot="1" x14ac:dyDescent="0.3">
      <c r="B33" s="136" t="s">
        <v>43</v>
      </c>
      <c r="C33" s="30"/>
      <c r="D33" s="30"/>
      <c r="E33" s="30"/>
      <c r="F33" s="30"/>
      <c r="G33" s="30"/>
      <c r="H33" s="30"/>
      <c r="I33" s="30"/>
      <c r="J33" s="29">
        <f>J7</f>
        <v>2500</v>
      </c>
      <c r="K33" s="30"/>
      <c r="L33" s="30"/>
      <c r="M33" s="30"/>
      <c r="N33" s="30"/>
      <c r="O33" s="56"/>
      <c r="Q33" s="9"/>
      <c r="R33" s="9"/>
      <c r="S33" s="9"/>
      <c r="T33" s="9"/>
      <c r="U33" s="9"/>
      <c r="V33" s="9"/>
      <c r="W33" s="9"/>
      <c r="X33" s="9"/>
      <c r="Y33" s="9"/>
      <c r="Z33" s="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ht="7.5" customHeight="1" thickBot="1" x14ac:dyDescent="0.3">
      <c r="B34" s="137"/>
      <c r="C34" s="30"/>
      <c r="D34" s="30"/>
      <c r="E34" s="30"/>
      <c r="F34" s="30"/>
      <c r="G34" s="30"/>
      <c r="H34" s="30"/>
      <c r="I34" s="30"/>
      <c r="J34" s="138"/>
      <c r="K34" s="30"/>
      <c r="L34" s="30"/>
      <c r="M34" s="30"/>
      <c r="N34" s="30"/>
      <c r="O34" s="56"/>
      <c r="Q34" s="9"/>
      <c r="R34" s="9"/>
      <c r="S34" s="9"/>
      <c r="T34" s="9"/>
      <c r="U34" s="9"/>
      <c r="V34" s="9"/>
      <c r="W34" s="9"/>
      <c r="X34" s="9"/>
      <c r="Y34" s="9"/>
      <c r="Z34" s="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ht="18.75" thickBot="1" x14ac:dyDescent="0.3">
      <c r="B35" s="36" t="s">
        <v>44</v>
      </c>
      <c r="C35" s="30"/>
      <c r="D35" s="30"/>
      <c r="E35" s="30"/>
      <c r="F35" s="30"/>
      <c r="G35" s="30"/>
      <c r="H35" s="30"/>
      <c r="I35" s="30"/>
      <c r="J35" s="38">
        <f>J9</f>
        <v>1000</v>
      </c>
      <c r="K35" s="30"/>
      <c r="L35" s="30"/>
      <c r="M35" s="30"/>
      <c r="N35" s="30"/>
      <c r="O35" s="56"/>
      <c r="Q35" s="9"/>
      <c r="R35" s="9"/>
      <c r="S35" s="9"/>
      <c r="T35" s="9"/>
      <c r="U35" s="9"/>
      <c r="V35" s="9"/>
      <c r="W35" s="9"/>
      <c r="X35" s="9"/>
      <c r="Y35" s="9"/>
      <c r="Z35" s="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ht="9" customHeight="1" thickBot="1" x14ac:dyDescent="0.3">
      <c r="B36" s="139"/>
      <c r="C36" s="14"/>
      <c r="D36" s="14"/>
      <c r="E36" s="14"/>
      <c r="F36" s="14"/>
      <c r="G36" s="14"/>
      <c r="H36" s="14"/>
      <c r="I36" s="14"/>
      <c r="J36" s="48"/>
      <c r="K36" s="14"/>
      <c r="L36" s="14"/>
      <c r="M36" s="14"/>
      <c r="N36" s="14"/>
      <c r="O36" s="56"/>
      <c r="Q36" s="9"/>
      <c r="R36" s="9"/>
      <c r="S36" s="9"/>
      <c r="T36" s="9"/>
      <c r="U36" s="9"/>
      <c r="V36" s="9"/>
      <c r="W36" s="9"/>
      <c r="X36" s="9"/>
      <c r="Y36" s="9"/>
      <c r="Z36" s="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ht="16.5" customHeight="1" thickBot="1" x14ac:dyDescent="0.3">
      <c r="B37" s="140" t="s">
        <v>4</v>
      </c>
      <c r="C37" s="30"/>
      <c r="D37" s="30"/>
      <c r="E37" s="30"/>
      <c r="F37" s="30"/>
      <c r="G37" s="30"/>
      <c r="H37" s="30"/>
      <c r="I37" s="30"/>
      <c r="J37" s="141">
        <v>5</v>
      </c>
      <c r="K37" s="98" t="s">
        <v>2</v>
      </c>
      <c r="L37" s="30"/>
      <c r="M37" s="30"/>
      <c r="N37" s="30"/>
      <c r="O37" s="56"/>
      <c r="Q37" s="9"/>
      <c r="R37" s="9"/>
      <c r="S37" s="9"/>
      <c r="T37" s="9"/>
      <c r="U37" s="9"/>
      <c r="V37" s="9"/>
      <c r="W37" s="9"/>
      <c r="X37" s="9"/>
      <c r="Y37" s="9"/>
      <c r="Z37" s="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ht="8.25" customHeight="1" thickBot="1" x14ac:dyDescent="0.3">
      <c r="B38" s="139"/>
      <c r="C38" s="14"/>
      <c r="D38" s="14"/>
      <c r="E38" s="14"/>
      <c r="F38" s="14"/>
      <c r="G38" s="14"/>
      <c r="H38" s="14"/>
      <c r="I38" s="14"/>
      <c r="J38" s="48"/>
      <c r="K38" s="14"/>
      <c r="L38" s="14"/>
      <c r="M38" s="30"/>
      <c r="N38" s="30"/>
      <c r="O38" s="56"/>
      <c r="Q38" s="9"/>
      <c r="R38" s="9"/>
      <c r="S38" s="9"/>
      <c r="T38" s="9"/>
      <c r="U38" s="9"/>
      <c r="V38" s="9"/>
      <c r="W38" s="9"/>
      <c r="X38" s="9"/>
      <c r="Y38" s="9"/>
      <c r="Z38" s="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ht="20.25" customHeight="1" thickBot="1" x14ac:dyDescent="0.3">
      <c r="B39" s="142" t="s">
        <v>5</v>
      </c>
      <c r="C39" s="30"/>
      <c r="D39" s="30"/>
      <c r="E39" s="30"/>
      <c r="F39" s="30"/>
      <c r="G39" s="30"/>
      <c r="H39" s="30"/>
      <c r="I39" s="30"/>
      <c r="J39" s="143">
        <f>J15</f>
        <v>1598.999999999998</v>
      </c>
      <c r="K39" s="144" t="s">
        <v>41</v>
      </c>
      <c r="L39" s="30"/>
      <c r="M39" s="30"/>
      <c r="N39" s="30"/>
      <c r="O39" s="56"/>
      <c r="Q39" s="9"/>
      <c r="R39" s="9"/>
      <c r="S39" s="9"/>
      <c r="T39" s="9"/>
      <c r="U39" s="9"/>
      <c r="V39" s="9"/>
      <c r="W39" s="9"/>
      <c r="X39" s="9"/>
      <c r="Y39" s="9"/>
      <c r="Z39" s="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ht="23.25" customHeight="1" thickBot="1" x14ac:dyDescent="0.3">
      <c r="B40" s="145"/>
      <c r="C40" s="146"/>
      <c r="D40" s="146"/>
      <c r="E40" s="146"/>
      <c r="F40" s="146"/>
      <c r="G40" s="146"/>
      <c r="H40" s="146"/>
      <c r="I40" s="146"/>
      <c r="J40" s="48"/>
      <c r="K40" s="14"/>
      <c r="L40" s="14"/>
      <c r="M40" s="14"/>
      <c r="N40" s="14"/>
      <c r="O40" s="56"/>
      <c r="Q40" s="9"/>
      <c r="R40" s="9"/>
      <c r="S40" s="9"/>
      <c r="T40" s="9"/>
      <c r="U40" s="9"/>
      <c r="V40" s="9"/>
      <c r="W40" s="9"/>
      <c r="X40" s="9"/>
      <c r="Y40" s="9"/>
      <c r="Z40" s="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ht="18.75" thickBot="1" x14ac:dyDescent="0.3">
      <c r="B41" s="147" t="s">
        <v>7</v>
      </c>
      <c r="C41" s="58"/>
      <c r="D41" s="58"/>
      <c r="E41" s="58"/>
      <c r="F41" s="58"/>
      <c r="G41" s="58"/>
      <c r="H41" s="58"/>
      <c r="I41" s="58"/>
      <c r="J41" s="53">
        <f xml:space="preserve"> TRUNC(LN(J39/(J39-(J33-J35)*J37/100))/LN(1+J37/100)+0.99)</f>
        <v>1</v>
      </c>
      <c r="K41" s="14"/>
      <c r="L41" s="30" t="s">
        <v>67</v>
      </c>
      <c r="M41" s="30"/>
      <c r="N41" s="30"/>
      <c r="O41" s="56"/>
      <c r="Q41" s="9"/>
      <c r="R41" s="9"/>
      <c r="S41" s="9"/>
      <c r="T41" s="9"/>
      <c r="U41" s="9"/>
      <c r="V41" s="9"/>
      <c r="W41" s="9"/>
      <c r="X41" s="9"/>
      <c r="Y41" s="9"/>
      <c r="Z41" s="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ht="18.75" thickBot="1" x14ac:dyDescent="0.3">
      <c r="B42" s="148" t="s">
        <v>8</v>
      </c>
      <c r="C42" s="149"/>
      <c r="D42" s="150"/>
      <c r="E42" s="150"/>
      <c r="F42" s="150"/>
      <c r="G42" s="150"/>
      <c r="H42" s="150"/>
      <c r="I42" s="150"/>
      <c r="J42" s="151">
        <f>(J33-J35)*(J37/100)/(1-(1+J37/100)^(-J41))</f>
        <v>1574.9999999999982</v>
      </c>
      <c r="K42" s="152"/>
      <c r="L42" s="152"/>
      <c r="M42" s="152"/>
      <c r="N42" s="152"/>
      <c r="O42" s="133"/>
      <c r="Q42" s="9"/>
      <c r="R42" s="9"/>
      <c r="S42" s="9"/>
      <c r="T42" s="9"/>
      <c r="U42" s="9"/>
      <c r="V42" s="9"/>
      <c r="W42" s="9"/>
      <c r="X42" s="9"/>
      <c r="Y42" s="9"/>
      <c r="Z42" s="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s="30" customFormat="1" ht="18" x14ac:dyDescent="0.25">
      <c r="A43" s="14"/>
    </row>
    <row r="44" spans="1:37" ht="18" x14ac:dyDescent="0.25">
      <c r="B44" s="3" t="s">
        <v>22</v>
      </c>
      <c r="C44" s="153" t="s">
        <v>34</v>
      </c>
      <c r="D44" s="121"/>
      <c r="E44" s="5" t="s">
        <v>40</v>
      </c>
      <c r="F44" s="4"/>
      <c r="G44" s="154">
        <v>2</v>
      </c>
      <c r="H44" s="69" t="s">
        <v>55</v>
      </c>
      <c r="I44" s="70"/>
      <c r="J44" s="70"/>
      <c r="K44" s="71"/>
      <c r="L44" s="72" t="s">
        <v>32</v>
      </c>
      <c r="M44" s="155">
        <f>J33-J35</f>
        <v>1500</v>
      </c>
      <c r="N44" s="156"/>
      <c r="O44" s="157"/>
      <c r="Q44" s="9"/>
      <c r="R44" s="9"/>
      <c r="S44" s="9"/>
      <c r="T44" s="9"/>
      <c r="U44" s="9"/>
      <c r="V44" s="9"/>
      <c r="W44" s="9"/>
      <c r="X44" s="9"/>
      <c r="Y44" s="9"/>
      <c r="Z44" s="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ht="15.75" customHeight="1" x14ac:dyDescent="0.3">
      <c r="B45" s="10" t="s">
        <v>21</v>
      </c>
      <c r="C45" s="158"/>
      <c r="D45" s="11"/>
      <c r="E45" s="12"/>
      <c r="F45" s="159"/>
      <c r="G45" s="160"/>
      <c r="H45" s="78" t="s">
        <v>51</v>
      </c>
      <c r="I45" s="77"/>
      <c r="J45" s="77"/>
      <c r="K45" s="79"/>
      <c r="L45" s="80" t="s">
        <v>32</v>
      </c>
      <c r="M45" s="161">
        <f>J42</f>
        <v>1574.9999999999982</v>
      </c>
      <c r="N45" s="162"/>
      <c r="O45" s="163"/>
      <c r="Q45" s="9"/>
      <c r="R45" s="9"/>
      <c r="S45" s="9"/>
      <c r="T45" s="9"/>
      <c r="U45" s="9"/>
      <c r="V45" s="9"/>
      <c r="W45" s="9"/>
      <c r="X45" s="9"/>
      <c r="Y45" s="9"/>
      <c r="Z45" s="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ht="18" x14ac:dyDescent="0.25">
      <c r="B46" s="164"/>
      <c r="C46" s="39"/>
      <c r="D46" s="160"/>
      <c r="E46" s="160"/>
      <c r="F46" s="160"/>
      <c r="G46" s="160"/>
      <c r="H46" s="83" t="s">
        <v>52</v>
      </c>
      <c r="I46" s="77"/>
      <c r="J46" s="77"/>
      <c r="K46" s="79"/>
      <c r="L46" s="80" t="s">
        <v>32</v>
      </c>
      <c r="M46" s="84">
        <f>J37/100</f>
        <v>0.05</v>
      </c>
      <c r="N46" s="165"/>
      <c r="O46" s="163"/>
      <c r="Q46" s="9"/>
      <c r="R46" s="9"/>
      <c r="S46" s="9"/>
      <c r="T46" s="9"/>
      <c r="U46" s="9"/>
      <c r="V46" s="9"/>
      <c r="W46" s="9"/>
      <c r="X46" s="9"/>
      <c r="Y46" s="9"/>
      <c r="Z46" s="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ht="18" x14ac:dyDescent="0.25">
      <c r="B47" s="166" t="s">
        <v>24</v>
      </c>
      <c r="C47" s="167" t="s">
        <v>54</v>
      </c>
      <c r="D47" s="168"/>
      <c r="E47" s="168"/>
      <c r="F47" s="168"/>
      <c r="G47" s="168"/>
      <c r="H47" s="86" t="s">
        <v>53</v>
      </c>
      <c r="I47" s="75"/>
      <c r="J47" s="75"/>
      <c r="K47" s="75"/>
      <c r="L47" s="87" t="s">
        <v>32</v>
      </c>
      <c r="M47" s="169" t="s">
        <v>20</v>
      </c>
      <c r="N47" s="170"/>
      <c r="O47" s="163"/>
      <c r="Q47" s="9"/>
      <c r="R47" s="9"/>
      <c r="S47" s="9"/>
      <c r="T47" s="9"/>
      <c r="U47" s="9"/>
      <c r="V47" s="9"/>
      <c r="W47" s="9"/>
      <c r="X47" s="9"/>
      <c r="Y47" s="9"/>
      <c r="Z47" s="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ht="18" x14ac:dyDescent="0.25">
      <c r="B48" s="171"/>
      <c r="C48" s="51"/>
      <c r="D48" s="160"/>
      <c r="E48" s="160"/>
      <c r="F48" s="160"/>
      <c r="G48" s="160"/>
      <c r="H48" s="172"/>
      <c r="I48" s="77"/>
      <c r="J48" s="77"/>
      <c r="K48" s="77"/>
      <c r="L48" s="80"/>
      <c r="M48" s="170"/>
      <c r="N48" s="170"/>
      <c r="O48" s="163"/>
      <c r="Q48" s="9"/>
      <c r="R48" s="9"/>
      <c r="S48" s="9"/>
      <c r="T48" s="9"/>
      <c r="U48" s="9"/>
      <c r="V48" s="9"/>
      <c r="W48" s="9"/>
      <c r="X48" s="9"/>
      <c r="Y48" s="9"/>
      <c r="Z48" s="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37" s="183" customFormat="1" ht="20.25" x14ac:dyDescent="0.3">
      <c r="A49" s="1"/>
      <c r="B49" s="173"/>
      <c r="C49" s="174" t="s">
        <v>60</v>
      </c>
      <c r="D49" s="135" t="s">
        <v>56</v>
      </c>
      <c r="E49" s="175">
        <f>J39</f>
        <v>1598.999999999998</v>
      </c>
      <c r="F49" s="175"/>
      <c r="G49" s="103" t="s">
        <v>57</v>
      </c>
      <c r="H49" s="175">
        <f>J39</f>
        <v>1598.999999999998</v>
      </c>
      <c r="I49" s="176" t="s">
        <v>58</v>
      </c>
      <c r="J49" s="177">
        <f>M44</f>
        <v>1500</v>
      </c>
      <c r="K49" s="178" t="s">
        <v>25</v>
      </c>
      <c r="L49" s="179">
        <f>J37/100</f>
        <v>0.05</v>
      </c>
      <c r="M49" s="180" t="s">
        <v>65</v>
      </c>
      <c r="N49" s="181">
        <f>J37/100</f>
        <v>0.05</v>
      </c>
      <c r="O49" s="182" t="s">
        <v>59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</row>
    <row r="50" spans="1:37" ht="10.5" customHeight="1" x14ac:dyDescent="0.25">
      <c r="B50" s="171"/>
      <c r="C50" s="51"/>
      <c r="D50" s="160"/>
      <c r="E50" s="160"/>
      <c r="F50" s="160"/>
      <c r="G50" s="160"/>
      <c r="H50" s="172"/>
      <c r="I50" s="77"/>
      <c r="J50" s="77"/>
      <c r="K50" s="77"/>
      <c r="L50" s="80"/>
      <c r="M50" s="170"/>
      <c r="N50" s="170"/>
      <c r="O50" s="163"/>
      <c r="Q50" s="9"/>
      <c r="R50" s="9"/>
      <c r="S50" s="9"/>
      <c r="T50" s="9"/>
      <c r="U50" s="9"/>
      <c r="V50" s="9"/>
      <c r="W50" s="9"/>
      <c r="X50" s="9"/>
      <c r="Y50" s="9"/>
      <c r="Z50" s="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ht="16.5" customHeight="1" x14ac:dyDescent="0.3">
      <c r="B51" s="171"/>
      <c r="C51" s="174" t="s">
        <v>60</v>
      </c>
      <c r="D51" s="135" t="s">
        <v>56</v>
      </c>
      <c r="E51" s="175">
        <f>J39</f>
        <v>1598.999999999998</v>
      </c>
      <c r="F51" s="175"/>
      <c r="G51" s="103" t="s">
        <v>57</v>
      </c>
      <c r="H51" s="184">
        <f>J39</f>
        <v>1598.999999999998</v>
      </c>
      <c r="I51" s="185" t="s">
        <v>58</v>
      </c>
      <c r="J51" s="186">
        <f>(J33-J35)*J37/100</f>
        <v>75</v>
      </c>
      <c r="K51" s="187" t="s">
        <v>61</v>
      </c>
      <c r="L51" s="39"/>
      <c r="M51" s="188">
        <f>1+J37/100</f>
        <v>1.05</v>
      </c>
      <c r="N51" s="189" t="s">
        <v>59</v>
      </c>
      <c r="O51" s="190"/>
      <c r="P51" s="7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ht="18.75" x14ac:dyDescent="0.3">
      <c r="B52" s="191"/>
      <c r="C52" s="174" t="s">
        <v>60</v>
      </c>
      <c r="D52" s="135" t="s">
        <v>56</v>
      </c>
      <c r="E52" s="184">
        <f>J42</f>
        <v>1574.9999999999982</v>
      </c>
      <c r="F52" s="184"/>
      <c r="G52" s="192" t="s">
        <v>66</v>
      </c>
      <c r="H52" s="193">
        <f>H51-J51</f>
        <v>1523.999999999998</v>
      </c>
      <c r="I52" s="194" t="s">
        <v>63</v>
      </c>
      <c r="J52" s="188">
        <f>M51</f>
        <v>1.05</v>
      </c>
      <c r="K52" s="187" t="s">
        <v>59</v>
      </c>
      <c r="L52" s="39"/>
      <c r="M52" s="195"/>
      <c r="N52" s="189"/>
      <c r="O52" s="163"/>
      <c r="Q52" s="9"/>
      <c r="R52" s="9"/>
      <c r="S52" s="9"/>
      <c r="T52" s="9"/>
      <c r="U52" s="9"/>
      <c r="V52" s="9"/>
      <c r="W52" s="9"/>
      <c r="X52" s="9"/>
      <c r="Y52" s="9"/>
      <c r="Z52" s="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ht="18.75" x14ac:dyDescent="0.3">
      <c r="B53" s="191"/>
      <c r="C53" s="174" t="s">
        <v>60</v>
      </c>
      <c r="D53" s="135" t="s">
        <v>56</v>
      </c>
      <c r="E53" s="196">
        <f>E52/H52</f>
        <v>1.033464566929134</v>
      </c>
      <c r="F53" s="196"/>
      <c r="G53" s="194" t="s">
        <v>64</v>
      </c>
      <c r="H53" s="188">
        <f>J52</f>
        <v>1.05</v>
      </c>
      <c r="I53" s="197" t="s">
        <v>59</v>
      </c>
      <c r="J53" s="198"/>
      <c r="K53" s="30"/>
      <c r="L53" s="30"/>
      <c r="M53" s="30"/>
      <c r="N53" s="30"/>
      <c r="O53" s="163"/>
      <c r="Q53" s="9"/>
      <c r="R53" s="9"/>
      <c r="S53" s="9"/>
      <c r="T53" s="9"/>
      <c r="U53" s="9"/>
      <c r="V53" s="9"/>
      <c r="W53" s="9"/>
      <c r="X53" s="9"/>
      <c r="Y53" s="9"/>
      <c r="Z53" s="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ht="24" customHeight="1" x14ac:dyDescent="0.3">
      <c r="B54" s="199"/>
      <c r="C54" s="174" t="s">
        <v>60</v>
      </c>
      <c r="D54" s="135"/>
      <c r="E54" s="200">
        <f>LN(E53)</f>
        <v>3.291681501314201E-2</v>
      </c>
      <c r="F54" s="200"/>
      <c r="G54" s="194" t="s">
        <v>62</v>
      </c>
      <c r="H54" s="44">
        <f>LN(H53)</f>
        <v>4.8790164169432049E-2</v>
      </c>
      <c r="I54" s="14"/>
      <c r="J54" s="14"/>
      <c r="K54" s="14"/>
      <c r="L54" s="14"/>
      <c r="M54" s="14"/>
      <c r="N54" s="14"/>
      <c r="O54" s="163"/>
      <c r="Q54" s="9"/>
      <c r="R54" s="9"/>
      <c r="S54" s="9"/>
      <c r="T54" s="9"/>
      <c r="U54" s="9"/>
      <c r="V54" s="9"/>
      <c r="W54" s="9"/>
      <c r="X54" s="9"/>
      <c r="Y54" s="9"/>
      <c r="Z54" s="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7" ht="19.5" thickBot="1" x14ac:dyDescent="0.35">
      <c r="B55" s="199"/>
      <c r="C55" s="174" t="s">
        <v>60</v>
      </c>
      <c r="D55" s="135"/>
      <c r="E55" s="201">
        <f>TRUNC( E54/H54+0.5)</f>
        <v>1</v>
      </c>
      <c r="F55" s="201"/>
      <c r="G55" s="194"/>
      <c r="H55" s="14"/>
      <c r="I55" s="14"/>
      <c r="J55" s="14"/>
      <c r="K55" s="14"/>
      <c r="L55" s="14"/>
      <c r="M55" s="14"/>
      <c r="N55" s="14"/>
      <c r="O55" s="163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s="209" customFormat="1" ht="19.5" thickBot="1" x14ac:dyDescent="0.35">
      <c r="A56" s="202"/>
      <c r="B56" s="203"/>
      <c r="C56" s="204"/>
      <c r="D56" s="205"/>
      <c r="E56" s="203"/>
      <c r="F56" s="203"/>
      <c r="G56" s="206"/>
      <c r="H56" s="207"/>
      <c r="I56" s="207"/>
      <c r="J56" s="207"/>
      <c r="K56" s="203"/>
      <c r="L56" s="203"/>
      <c r="M56" s="203"/>
      <c r="N56" s="203"/>
      <c r="O56" s="208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s="91" customFormat="1" ht="21" customHeight="1" x14ac:dyDescent="0.3">
      <c r="A57" s="89"/>
      <c r="B57" s="2" t="s">
        <v>0</v>
      </c>
      <c r="C57" s="2"/>
      <c r="D57" s="2"/>
      <c r="E57" s="2"/>
      <c r="F57" s="2"/>
      <c r="H57" s="3" t="s">
        <v>34</v>
      </c>
      <c r="I57" s="121"/>
      <c r="J57" s="210" t="s">
        <v>74</v>
      </c>
      <c r="P57" s="9"/>
    </row>
    <row r="58" spans="1:37" s="91" customFormat="1" ht="17.25" customHeight="1" x14ac:dyDescent="0.3">
      <c r="A58" s="89"/>
      <c r="B58" s="7"/>
      <c r="C58" s="2"/>
      <c r="D58" s="2"/>
      <c r="E58" s="2"/>
      <c r="F58" s="2"/>
      <c r="H58" s="10" t="s">
        <v>75</v>
      </c>
      <c r="I58" s="11"/>
      <c r="J58" s="211"/>
    </row>
    <row r="59" spans="1:37" s="91" customFormat="1" ht="18.75" customHeight="1" thickBot="1" x14ac:dyDescent="0.35">
      <c r="A59" s="89"/>
      <c r="B59" s="2" t="s">
        <v>1</v>
      </c>
      <c r="C59" s="14"/>
      <c r="D59" s="14"/>
      <c r="E59" s="14"/>
      <c r="F59" s="14"/>
    </row>
    <row r="60" spans="1:37" s="91" customFormat="1" ht="18.75" thickBot="1" x14ac:dyDescent="0.3">
      <c r="A60" s="1"/>
      <c r="B60" s="16" t="s">
        <v>88</v>
      </c>
      <c r="C60" s="17"/>
      <c r="D60" s="17"/>
      <c r="E60" s="17"/>
      <c r="F60" s="17"/>
      <c r="G60" s="59"/>
      <c r="H60" s="59"/>
      <c r="I60" s="212" t="s">
        <v>71</v>
      </c>
      <c r="J60" s="59"/>
      <c r="K60" s="131"/>
      <c r="L60" s="131"/>
      <c r="M60" s="131"/>
      <c r="N60" s="131"/>
      <c r="O60" s="63"/>
      <c r="P60" s="8"/>
      <c r="Q60" s="9"/>
      <c r="R60" s="9"/>
    </row>
    <row r="61" spans="1:37" s="91" customFormat="1" ht="18.75" thickBot="1" x14ac:dyDescent="0.3">
      <c r="A61" s="1"/>
      <c r="B61" s="134"/>
      <c r="C61" s="30"/>
      <c r="D61" s="30"/>
      <c r="E61" s="30"/>
      <c r="F61" s="30"/>
      <c r="G61" s="30"/>
      <c r="H61" s="30"/>
      <c r="I61" s="30"/>
      <c r="J61" s="135"/>
      <c r="K61" s="30"/>
      <c r="L61" s="30"/>
      <c r="M61" s="30"/>
      <c r="N61" s="30"/>
      <c r="O61" s="15"/>
      <c r="P61" s="8"/>
      <c r="Q61" s="9"/>
      <c r="R61" s="9"/>
    </row>
    <row r="62" spans="1:37" s="91" customFormat="1" ht="18.75" thickBot="1" x14ac:dyDescent="0.3">
      <c r="A62" s="1"/>
      <c r="B62" s="213" t="s">
        <v>17</v>
      </c>
      <c r="C62" s="214"/>
      <c r="D62" s="214"/>
      <c r="E62" s="214"/>
      <c r="F62" s="214"/>
      <c r="G62" s="214"/>
      <c r="H62" s="214"/>
      <c r="I62" s="214"/>
      <c r="J62" s="215">
        <f>J9</f>
        <v>1000</v>
      </c>
      <c r="K62" s="214"/>
      <c r="L62" s="214"/>
      <c r="M62" s="214"/>
      <c r="N62" s="214"/>
      <c r="O62" s="15"/>
      <c r="P62" s="8"/>
      <c r="Q62" s="9"/>
      <c r="R62" s="9"/>
    </row>
    <row r="63" spans="1:37" s="91" customFormat="1" ht="18.75" thickBot="1" x14ac:dyDescent="0.3">
      <c r="A63" s="1"/>
      <c r="B63" s="47"/>
      <c r="C63" s="14"/>
      <c r="D63" s="14"/>
      <c r="E63" s="14"/>
      <c r="F63" s="14"/>
      <c r="G63" s="14"/>
      <c r="H63" s="14"/>
      <c r="I63" s="14"/>
      <c r="J63" s="48"/>
      <c r="K63" s="14"/>
      <c r="L63" s="14"/>
      <c r="M63" s="14"/>
      <c r="N63" s="14"/>
      <c r="O63" s="15"/>
      <c r="P63" s="8"/>
      <c r="Q63" s="9"/>
      <c r="R63" s="9"/>
    </row>
    <row r="64" spans="1:37" s="91" customFormat="1" ht="18.75" thickBot="1" x14ac:dyDescent="0.3">
      <c r="A64" s="1"/>
      <c r="B64" s="216" t="s">
        <v>18</v>
      </c>
      <c r="C64" s="214"/>
      <c r="D64" s="214"/>
      <c r="E64" s="214"/>
      <c r="F64" s="214"/>
      <c r="G64" s="214"/>
      <c r="H64" s="214"/>
      <c r="I64" s="214"/>
      <c r="J64" s="151">
        <f>J15</f>
        <v>1598.999999999998</v>
      </c>
      <c r="K64" s="214"/>
      <c r="L64" s="214"/>
      <c r="M64" s="214"/>
      <c r="N64" s="214"/>
      <c r="O64" s="15"/>
      <c r="P64" s="8"/>
      <c r="Q64" s="9"/>
      <c r="R64" s="9"/>
    </row>
    <row r="65" spans="1:37" s="91" customFormat="1" ht="18.75" thickBot="1" x14ac:dyDescent="0.3">
      <c r="A65" s="1"/>
      <c r="B65" s="47"/>
      <c r="C65" s="14"/>
      <c r="D65" s="14"/>
      <c r="E65" s="14"/>
      <c r="F65" s="14"/>
      <c r="G65" s="14"/>
      <c r="H65" s="14"/>
      <c r="I65" s="14"/>
      <c r="J65" s="48"/>
      <c r="K65" s="14"/>
      <c r="L65" s="14"/>
      <c r="M65" s="30"/>
      <c r="N65" s="30"/>
      <c r="O65" s="15"/>
      <c r="P65" s="8"/>
      <c r="Q65" s="9"/>
      <c r="R65" s="9"/>
    </row>
    <row r="66" spans="1:37" s="91" customFormat="1" ht="18.75" thickBot="1" x14ac:dyDescent="0.3">
      <c r="A66" s="1"/>
      <c r="B66" s="217" t="s">
        <v>4</v>
      </c>
      <c r="C66" s="214"/>
      <c r="D66" s="214"/>
      <c r="E66" s="214"/>
      <c r="F66" s="214"/>
      <c r="G66" s="214"/>
      <c r="H66" s="214"/>
      <c r="I66" s="214"/>
      <c r="J66" s="141">
        <f>J11</f>
        <v>6.6</v>
      </c>
      <c r="K66" s="218" t="s">
        <v>2</v>
      </c>
      <c r="L66" s="214"/>
      <c r="M66" s="214"/>
      <c r="N66" s="214"/>
      <c r="O66" s="15"/>
      <c r="P66" s="8"/>
      <c r="Q66" s="9"/>
      <c r="R66" s="9"/>
    </row>
    <row r="67" spans="1:37" s="91" customFormat="1" ht="18.75" thickBot="1" x14ac:dyDescent="0.3">
      <c r="A67" s="1"/>
      <c r="B67" s="134"/>
      <c r="C67" s="30"/>
      <c r="D67" s="30"/>
      <c r="E67" s="30"/>
      <c r="F67" s="30"/>
      <c r="G67" s="30"/>
      <c r="H67" s="30"/>
      <c r="I67" s="30"/>
      <c r="J67" s="33"/>
      <c r="K67" s="30"/>
      <c r="L67" s="30"/>
      <c r="M67" s="30"/>
      <c r="N67" s="30"/>
      <c r="O67" s="15"/>
      <c r="P67" s="8"/>
      <c r="Q67" s="9"/>
      <c r="R67" s="9"/>
    </row>
    <row r="68" spans="1:37" s="91" customFormat="1" ht="18.75" thickBot="1" x14ac:dyDescent="0.3">
      <c r="A68" s="1"/>
      <c r="B68" s="134" t="s">
        <v>12</v>
      </c>
      <c r="C68" s="214"/>
      <c r="D68" s="214"/>
      <c r="E68" s="214"/>
      <c r="F68" s="214"/>
      <c r="G68" s="214"/>
      <c r="H68" s="214"/>
      <c r="I68" s="214"/>
      <c r="J68" s="219">
        <f>J13</f>
        <v>1</v>
      </c>
      <c r="K68" s="52" t="s">
        <v>13</v>
      </c>
      <c r="L68" s="52"/>
      <c r="M68" s="214"/>
      <c r="N68" s="214"/>
      <c r="O68" s="15"/>
      <c r="P68" s="8"/>
      <c r="Q68" s="9"/>
      <c r="R68" s="9"/>
    </row>
    <row r="69" spans="1:37" s="91" customFormat="1" ht="18" x14ac:dyDescent="0.25">
      <c r="A69" s="1"/>
      <c r="B69" s="134"/>
      <c r="C69" s="52" t="s">
        <v>14</v>
      </c>
      <c r="D69" s="214"/>
      <c r="E69" s="214"/>
      <c r="F69" s="214"/>
      <c r="G69" s="14"/>
      <c r="H69" s="14"/>
      <c r="I69" s="14"/>
      <c r="J69" s="48"/>
      <c r="K69" s="14"/>
      <c r="L69" s="14"/>
      <c r="M69" s="14"/>
      <c r="N69" s="14"/>
      <c r="O69" s="15"/>
      <c r="P69" s="8"/>
      <c r="Q69" s="9"/>
      <c r="R69" s="9"/>
    </row>
    <row r="70" spans="1:37" s="91" customFormat="1" ht="18.75" thickBot="1" x14ac:dyDescent="0.3">
      <c r="A70" s="1"/>
      <c r="B70" s="134"/>
      <c r="C70" s="30"/>
      <c r="D70" s="30"/>
      <c r="E70" s="30"/>
      <c r="F70" s="30"/>
      <c r="G70" s="14"/>
      <c r="H70" s="14"/>
      <c r="I70" s="14"/>
      <c r="J70" s="48"/>
      <c r="K70" s="14"/>
      <c r="L70" s="14"/>
      <c r="M70" s="14"/>
      <c r="N70" s="14"/>
      <c r="O70" s="15"/>
      <c r="P70" s="8"/>
      <c r="Q70" s="9"/>
      <c r="R70" s="9"/>
    </row>
    <row r="71" spans="1:37" s="91" customFormat="1" ht="18.75" thickBot="1" x14ac:dyDescent="0.3">
      <c r="A71" s="1"/>
      <c r="B71" s="220" t="s">
        <v>84</v>
      </c>
      <c r="C71" s="59"/>
      <c r="D71" s="59"/>
      <c r="E71" s="59"/>
      <c r="F71" s="59"/>
      <c r="G71" s="59"/>
      <c r="H71" s="59"/>
      <c r="I71" s="59"/>
      <c r="J71" s="221">
        <f>J64*(100/J66)*(1-(1+J66/100)^(-J68))</f>
        <v>1500.0000000000002</v>
      </c>
      <c r="K71" s="214"/>
      <c r="L71" s="30"/>
      <c r="M71" s="30"/>
      <c r="N71" s="30"/>
      <c r="O71" s="15"/>
      <c r="P71" s="8"/>
      <c r="Q71" s="9"/>
      <c r="R71" s="9"/>
    </row>
    <row r="72" spans="1:37" s="91" customFormat="1" ht="18.75" thickBot="1" x14ac:dyDescent="0.3">
      <c r="A72" s="1"/>
      <c r="B72" s="222" t="s">
        <v>83</v>
      </c>
      <c r="C72" s="223"/>
      <c r="D72" s="223"/>
      <c r="E72" s="223"/>
      <c r="F72" s="223"/>
      <c r="G72" s="223"/>
      <c r="H72" s="160"/>
      <c r="I72" s="160"/>
      <c r="J72" s="224">
        <f>J64*(100/J66)*(1-(1+J66/100)^(-J68))+J62</f>
        <v>2500</v>
      </c>
      <c r="K72" s="214"/>
      <c r="L72" s="30"/>
      <c r="M72" s="30"/>
      <c r="N72" s="30"/>
      <c r="O72" s="15"/>
      <c r="P72" s="8"/>
      <c r="Q72" s="9"/>
      <c r="R72" s="9"/>
    </row>
    <row r="73" spans="1:37" s="230" customFormat="1" ht="18" x14ac:dyDescent="0.25">
      <c r="A73" s="1"/>
      <c r="B73" s="225" t="s">
        <v>22</v>
      </c>
      <c r="C73" s="226" t="s">
        <v>34</v>
      </c>
      <c r="D73" s="93"/>
      <c r="E73" s="227" t="s">
        <v>94</v>
      </c>
      <c r="F73" s="227"/>
      <c r="G73" s="228"/>
      <c r="H73" s="69" t="s">
        <v>55</v>
      </c>
      <c r="I73" s="70"/>
      <c r="J73" s="70"/>
      <c r="K73" s="72" t="s">
        <v>32</v>
      </c>
      <c r="L73" s="229" t="s">
        <v>76</v>
      </c>
      <c r="N73" s="228"/>
      <c r="O73" s="231"/>
      <c r="P73" s="8"/>
      <c r="Q73" s="9"/>
      <c r="R73" s="9"/>
    </row>
    <row r="74" spans="1:37" s="230" customFormat="1" ht="15.75" customHeight="1" x14ac:dyDescent="0.3">
      <c r="A74" s="1"/>
      <c r="B74" s="232"/>
      <c r="C74" s="233" t="s">
        <v>75</v>
      </c>
      <c r="D74" s="11"/>
      <c r="E74" s="11"/>
      <c r="F74" s="11"/>
      <c r="G74" s="234"/>
      <c r="H74" s="78" t="s">
        <v>51</v>
      </c>
      <c r="I74" s="77"/>
      <c r="J74" s="77"/>
      <c r="K74" s="80" t="s">
        <v>32</v>
      </c>
      <c r="L74" s="161">
        <f>J64</f>
        <v>1598.999999999998</v>
      </c>
      <c r="N74" s="228"/>
      <c r="O74" s="231"/>
      <c r="P74" s="8"/>
      <c r="Q74" s="9"/>
      <c r="R74" s="9"/>
    </row>
    <row r="75" spans="1:37" s="230" customFormat="1" x14ac:dyDescent="0.25">
      <c r="A75" s="1"/>
      <c r="B75" s="228"/>
      <c r="C75" s="228"/>
      <c r="D75" s="228"/>
      <c r="E75" s="228"/>
      <c r="F75" s="228"/>
      <c r="G75" s="228"/>
      <c r="H75" s="83" t="s">
        <v>52</v>
      </c>
      <c r="I75" s="77"/>
      <c r="J75" s="77"/>
      <c r="K75" s="80" t="s">
        <v>32</v>
      </c>
      <c r="L75" s="84">
        <f>J66/100</f>
        <v>6.6000000000000003E-2</v>
      </c>
      <c r="N75" s="228"/>
      <c r="O75" s="231"/>
      <c r="P75" s="8"/>
      <c r="Q75" s="9"/>
      <c r="R75" s="9"/>
    </row>
    <row r="76" spans="1:37" s="230" customFormat="1" x14ac:dyDescent="0.25">
      <c r="A76" s="1"/>
      <c r="B76" s="228"/>
      <c r="C76" s="228"/>
      <c r="D76" s="228"/>
      <c r="E76" s="228"/>
      <c r="F76" s="228"/>
      <c r="G76" s="228"/>
      <c r="H76" s="86" t="s">
        <v>89</v>
      </c>
      <c r="I76" s="75"/>
      <c r="J76" s="75"/>
      <c r="K76" s="75"/>
      <c r="L76" s="235">
        <f>J68</f>
        <v>1</v>
      </c>
      <c r="N76" s="228"/>
      <c r="O76" s="231"/>
      <c r="P76" s="8"/>
      <c r="Q76" s="9"/>
      <c r="R76" s="9"/>
    </row>
    <row r="77" spans="1:37" ht="21.75" customHeight="1" x14ac:dyDescent="0.25">
      <c r="I77" s="236">
        <f>-J68</f>
        <v>-1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</row>
    <row r="78" spans="1:37" s="230" customFormat="1" ht="15" customHeight="1" x14ac:dyDescent="0.25">
      <c r="A78" s="1"/>
      <c r="B78" s="228"/>
      <c r="D78" s="237" t="s">
        <v>79</v>
      </c>
      <c r="E78" s="238">
        <f>J64</f>
        <v>1598.999999999998</v>
      </c>
      <c r="F78" s="238"/>
      <c r="G78" s="105" t="s">
        <v>77</v>
      </c>
      <c r="H78" s="239">
        <f>J66/100</f>
        <v>6.6000000000000003E-2</v>
      </c>
      <c r="I78" s="105" t="s">
        <v>78</v>
      </c>
      <c r="J78" s="240">
        <f>J66/100</f>
        <v>6.6000000000000003E-2</v>
      </c>
      <c r="K78" s="228"/>
      <c r="L78" s="228"/>
      <c r="M78" s="228"/>
      <c r="N78" s="228"/>
      <c r="O78" s="231"/>
      <c r="P78" s="8"/>
      <c r="Q78" s="9"/>
      <c r="R78" s="9"/>
    </row>
    <row r="79" spans="1:37" ht="21.75" customHeight="1" x14ac:dyDescent="0.25">
      <c r="I79" s="236">
        <f>-J68</f>
        <v>-1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</row>
    <row r="80" spans="1:37" s="230" customFormat="1" ht="15.75" customHeight="1" x14ac:dyDescent="0.25">
      <c r="A80" s="1"/>
      <c r="B80" s="228"/>
      <c r="C80" s="228"/>
      <c r="D80" s="237" t="s">
        <v>79</v>
      </c>
      <c r="E80" s="238">
        <f>J64</f>
        <v>1598.999999999998</v>
      </c>
      <c r="F80" s="238"/>
      <c r="G80" s="105" t="s">
        <v>80</v>
      </c>
      <c r="H80" s="239">
        <f>1+J66/100</f>
        <v>1.0660000000000001</v>
      </c>
      <c r="I80" s="105" t="s">
        <v>78</v>
      </c>
      <c r="J80" s="240">
        <f>J66/100</f>
        <v>6.6000000000000003E-2</v>
      </c>
      <c r="K80" s="228"/>
      <c r="L80" s="228"/>
      <c r="M80" s="228"/>
      <c r="N80" s="228"/>
      <c r="O80" s="231"/>
      <c r="P80" s="8"/>
      <c r="Q80" s="9"/>
      <c r="R80" s="9"/>
    </row>
    <row r="81" spans="1:37" s="230" customFormat="1" x14ac:dyDescent="0.25">
      <c r="A81" s="1"/>
      <c r="B81" s="228"/>
      <c r="C81" s="228"/>
      <c r="D81" s="237" t="s">
        <v>79</v>
      </c>
      <c r="E81" s="238">
        <f>J64</f>
        <v>1598.999999999998</v>
      </c>
      <c r="F81" s="238"/>
      <c r="G81" s="105" t="s">
        <v>80</v>
      </c>
      <c r="H81" s="241">
        <f>(1+J66/100)^(-J68)</f>
        <v>0.9380863039399624</v>
      </c>
      <c r="I81" s="105" t="s">
        <v>78</v>
      </c>
      <c r="J81" s="240">
        <f>J66/100</f>
        <v>6.6000000000000003E-2</v>
      </c>
      <c r="K81" s="228"/>
      <c r="L81" s="228"/>
      <c r="M81" s="228"/>
      <c r="N81" s="228"/>
      <c r="O81" s="231"/>
      <c r="P81" s="8"/>
      <c r="Q81" s="9"/>
      <c r="R81" s="9"/>
    </row>
    <row r="82" spans="1:37" s="230" customFormat="1" x14ac:dyDescent="0.25">
      <c r="A82" s="1"/>
      <c r="B82" s="228"/>
      <c r="C82" s="228"/>
      <c r="D82" s="237" t="s">
        <v>79</v>
      </c>
      <c r="E82" s="238">
        <f>J64</f>
        <v>1598.999999999998</v>
      </c>
      <c r="F82" s="105" t="s">
        <v>81</v>
      </c>
      <c r="G82" s="55">
        <f>1-H81</f>
        <v>6.1913696060037604E-2</v>
      </c>
      <c r="H82" s="242" t="s">
        <v>82</v>
      </c>
      <c r="I82" s="240">
        <f>J66/100</f>
        <v>6.6000000000000003E-2</v>
      </c>
      <c r="J82" s="240"/>
      <c r="K82" s="228"/>
      <c r="L82" s="228"/>
      <c r="M82" s="228"/>
      <c r="N82" s="228"/>
      <c r="O82" s="231"/>
      <c r="P82" s="8"/>
      <c r="Q82" s="9"/>
      <c r="R82" s="9"/>
    </row>
    <row r="83" spans="1:37" s="230" customFormat="1" x14ac:dyDescent="0.25">
      <c r="A83" s="1"/>
      <c r="B83" s="228"/>
      <c r="C83" s="228"/>
      <c r="D83" s="237" t="s">
        <v>79</v>
      </c>
      <c r="E83" s="238">
        <f>J64*(1-(1+J66/100)^(-J68))/(J66/100)</f>
        <v>1500</v>
      </c>
      <c r="F83" s="238"/>
      <c r="G83" s="105"/>
      <c r="H83" s="243"/>
      <c r="I83" s="105"/>
      <c r="J83" s="240"/>
      <c r="K83" s="228"/>
      <c r="L83" s="228"/>
      <c r="M83" s="228"/>
      <c r="N83" s="228"/>
      <c r="O83" s="231"/>
      <c r="P83" s="8"/>
      <c r="Q83" s="9"/>
      <c r="R83" s="9"/>
    </row>
    <row r="84" spans="1:37" s="230" customFormat="1" x14ac:dyDescent="0.25">
      <c r="A84" s="1"/>
      <c r="B84" s="244" t="s">
        <v>87</v>
      </c>
      <c r="E84" s="238"/>
      <c r="F84" s="238"/>
      <c r="G84" s="105"/>
      <c r="H84" s="245">
        <f>J71</f>
        <v>1500.0000000000002</v>
      </c>
      <c r="I84" s="187" t="s">
        <v>86</v>
      </c>
      <c r="J84" s="246">
        <f>J62</f>
        <v>1000</v>
      </c>
      <c r="K84" s="103" t="s">
        <v>85</v>
      </c>
      <c r="L84" s="247">
        <f>J72</f>
        <v>2500</v>
      </c>
      <c r="M84" s="228"/>
      <c r="N84" s="228"/>
      <c r="O84" s="231"/>
      <c r="P84" s="8"/>
      <c r="Q84" s="9"/>
      <c r="R84" s="9"/>
    </row>
    <row r="85" spans="1:37" s="230" customFormat="1" x14ac:dyDescent="0.25">
      <c r="A85" s="1"/>
      <c r="B85" s="244"/>
      <c r="E85" s="238"/>
      <c r="F85" s="238"/>
      <c r="G85" s="105"/>
      <c r="H85" s="245"/>
      <c r="I85" s="187"/>
      <c r="J85" s="246"/>
      <c r="K85" s="103"/>
      <c r="L85" s="247"/>
      <c r="M85" s="228"/>
      <c r="N85" s="228"/>
      <c r="O85" s="231"/>
      <c r="P85" s="8"/>
      <c r="Q85" s="9"/>
      <c r="R85" s="9"/>
    </row>
    <row r="86" spans="1:37" s="93" customFormat="1" ht="20.25" x14ac:dyDescent="0.3">
      <c r="A86" s="119"/>
      <c r="B86" s="120" t="s">
        <v>0</v>
      </c>
      <c r="C86" s="248"/>
      <c r="D86" s="108"/>
      <c r="E86" s="91"/>
      <c r="F86" s="91"/>
      <c r="G86" s="91"/>
      <c r="H86" s="91"/>
      <c r="I86" s="91"/>
      <c r="J86" s="91"/>
      <c r="K86" s="91"/>
      <c r="L86" s="91"/>
      <c r="O86" s="94"/>
    </row>
    <row r="87" spans="1:37" s="93" customFormat="1" ht="21" thickBot="1" x14ac:dyDescent="0.35">
      <c r="A87" s="119"/>
      <c r="B87" s="120" t="s">
        <v>1</v>
      </c>
      <c r="C87" s="14"/>
      <c r="D87" s="108"/>
      <c r="E87" s="91"/>
      <c r="F87" s="91"/>
      <c r="G87" s="91"/>
      <c r="H87" s="91"/>
      <c r="I87" s="91"/>
      <c r="L87" s="226"/>
      <c r="O87" s="249"/>
    </row>
    <row r="88" spans="1:37" ht="18" x14ac:dyDescent="0.25">
      <c r="B88" s="250" t="s">
        <v>92</v>
      </c>
      <c r="C88" s="25"/>
      <c r="D88" s="25"/>
      <c r="E88" s="25"/>
      <c r="F88" s="25"/>
      <c r="G88" s="25"/>
      <c r="H88" s="251" t="s">
        <v>93</v>
      </c>
      <c r="I88" s="25"/>
      <c r="J88" s="24"/>
      <c r="K88" s="25"/>
      <c r="L88" s="25"/>
      <c r="M88" s="25"/>
      <c r="N88" s="25"/>
      <c r="O88" s="26"/>
      <c r="Q88" s="9"/>
      <c r="R88" s="9"/>
      <c r="S88" s="9"/>
      <c r="T88" s="9"/>
      <c r="U88" s="9"/>
      <c r="V88" s="9"/>
      <c r="W88" s="9"/>
      <c r="X88" s="9"/>
      <c r="Y88" s="9"/>
      <c r="Z88" s="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</row>
    <row r="89" spans="1:37" ht="18" x14ac:dyDescent="0.25">
      <c r="B89" s="47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31"/>
      <c r="Q89" s="9"/>
      <c r="R89" s="9"/>
      <c r="S89" s="9"/>
      <c r="T89" s="9"/>
      <c r="U89" s="9"/>
      <c r="V89" s="9"/>
      <c r="W89" s="9"/>
      <c r="X89" s="9"/>
      <c r="Y89" s="9"/>
      <c r="Z89" s="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</row>
    <row r="90" spans="1:37" s="183" customFormat="1" ht="18.75" customHeight="1" thickBot="1" x14ac:dyDescent="0.3">
      <c r="A90" s="1"/>
      <c r="B90" s="136" t="s">
        <v>9</v>
      </c>
      <c r="C90" s="105"/>
      <c r="D90" s="105"/>
      <c r="E90" s="105"/>
      <c r="F90" s="105"/>
      <c r="G90" s="105"/>
      <c r="H90" s="105"/>
      <c r="I90" s="105"/>
      <c r="J90" s="253">
        <f>J7</f>
        <v>2500</v>
      </c>
      <c r="K90" s="105"/>
      <c r="L90" s="105"/>
      <c r="M90" s="105"/>
      <c r="N90" s="105"/>
      <c r="O90" s="31"/>
      <c r="P90" s="8"/>
      <c r="Q90" s="9"/>
      <c r="R90" s="9"/>
      <c r="S90" s="9"/>
      <c r="T90" s="9"/>
      <c r="U90" s="9"/>
      <c r="V90" s="9"/>
      <c r="W90" s="9"/>
      <c r="X90" s="9"/>
      <c r="Y90" s="9"/>
      <c r="Z90" s="9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</row>
    <row r="91" spans="1:37" ht="9.75" customHeight="1" thickBot="1" x14ac:dyDescent="0.3">
      <c r="B91" s="47"/>
      <c r="C91" s="14"/>
      <c r="D91" s="14"/>
      <c r="E91" s="14"/>
      <c r="F91" s="14"/>
      <c r="G91" s="14"/>
      <c r="H91" s="14"/>
      <c r="I91" s="14"/>
      <c r="J91" s="48"/>
      <c r="K91" s="14"/>
      <c r="L91" s="14"/>
      <c r="M91" s="14"/>
      <c r="N91" s="14"/>
      <c r="O91" s="56"/>
      <c r="Q91" s="9"/>
      <c r="R91" s="9"/>
      <c r="S91" s="9"/>
      <c r="T91" s="9"/>
      <c r="U91" s="9"/>
      <c r="V91" s="9"/>
      <c r="W91" s="9"/>
      <c r="X91" s="9"/>
      <c r="Y91" s="9"/>
      <c r="Z91" s="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</row>
    <row r="92" spans="1:37" ht="18.75" thickBot="1" x14ac:dyDescent="0.3">
      <c r="B92" s="254" t="s">
        <v>10</v>
      </c>
      <c r="C92" s="30"/>
      <c r="D92" s="30"/>
      <c r="E92" s="30"/>
      <c r="F92" s="30"/>
      <c r="G92" s="30"/>
      <c r="H92" s="255"/>
      <c r="I92" s="30"/>
      <c r="J92" s="256">
        <f>J9</f>
        <v>1000</v>
      </c>
      <c r="K92" s="105"/>
      <c r="L92" s="105"/>
      <c r="M92" s="30"/>
      <c r="N92" s="30"/>
      <c r="O92" s="56"/>
      <c r="Q92" s="9"/>
      <c r="R92" s="9"/>
      <c r="S92" s="9"/>
      <c r="T92" s="9"/>
      <c r="U92" s="9"/>
      <c r="V92" s="9"/>
      <c r="W92" s="9"/>
      <c r="X92" s="9"/>
      <c r="Y92" s="9"/>
      <c r="Z92" s="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</row>
    <row r="93" spans="1:37" ht="9" customHeight="1" thickBot="1" x14ac:dyDescent="0.3">
      <c r="B93" s="139"/>
      <c r="C93" s="14"/>
      <c r="D93" s="14"/>
      <c r="E93" s="14"/>
      <c r="F93" s="14"/>
      <c r="G93" s="14"/>
      <c r="H93" s="14"/>
      <c r="I93" s="14"/>
      <c r="J93" s="48"/>
      <c r="K93" s="257"/>
      <c r="L93" s="257"/>
      <c r="M93" s="30"/>
      <c r="N93" s="30"/>
      <c r="O93" s="56"/>
      <c r="Q93" s="9"/>
      <c r="R93" s="9"/>
      <c r="S93" s="9"/>
      <c r="T93" s="9"/>
      <c r="U93" s="9"/>
      <c r="V93" s="9"/>
      <c r="W93" s="9"/>
      <c r="X93" s="9"/>
      <c r="Y93" s="9"/>
      <c r="Z93" s="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</row>
    <row r="94" spans="1:37" ht="18.75" thickBot="1" x14ac:dyDescent="0.3">
      <c r="B94" s="142" t="s">
        <v>11</v>
      </c>
      <c r="C94" s="30"/>
      <c r="D94" s="30"/>
      <c r="E94" s="30"/>
      <c r="F94" s="30"/>
      <c r="G94" s="30"/>
      <c r="H94" s="30"/>
      <c r="I94" s="30"/>
      <c r="J94" s="143">
        <v>1600</v>
      </c>
      <c r="K94" s="258" t="s">
        <v>6</v>
      </c>
      <c r="L94" s="105"/>
      <c r="M94" s="30"/>
      <c r="N94" s="30"/>
      <c r="O94" s="56"/>
      <c r="Q94" s="9"/>
      <c r="R94" s="9"/>
      <c r="S94" s="9"/>
      <c r="T94" s="9"/>
      <c r="U94" s="9"/>
      <c r="V94" s="9"/>
      <c r="W94" s="9"/>
      <c r="X94" s="9"/>
      <c r="Y94" s="9"/>
      <c r="Z94" s="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</row>
    <row r="95" spans="1:37" ht="8.25" customHeight="1" thickBot="1" x14ac:dyDescent="0.3">
      <c r="B95" s="137"/>
      <c r="C95" s="30"/>
      <c r="D95" s="30"/>
      <c r="E95" s="30"/>
      <c r="F95" s="30"/>
      <c r="G95" s="30"/>
      <c r="H95" s="30"/>
      <c r="I95" s="30"/>
      <c r="J95" s="33"/>
      <c r="K95" s="105"/>
      <c r="L95" s="105"/>
      <c r="M95" s="30"/>
      <c r="N95" s="30"/>
      <c r="O95" s="56"/>
      <c r="Q95" s="9"/>
      <c r="R95" s="9"/>
      <c r="S95" s="9"/>
      <c r="T95" s="9"/>
      <c r="U95" s="9"/>
      <c r="V95" s="9"/>
      <c r="W95" s="9"/>
      <c r="X95" s="9"/>
      <c r="Y95" s="9"/>
      <c r="Z95" s="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</row>
    <row r="96" spans="1:37" ht="18.75" thickBot="1" x14ac:dyDescent="0.3">
      <c r="B96" s="50" t="s">
        <v>12</v>
      </c>
      <c r="C96" s="52"/>
      <c r="D96" s="52"/>
      <c r="E96" s="52"/>
      <c r="F96" s="52"/>
      <c r="G96" s="52"/>
      <c r="H96" s="52"/>
      <c r="I96" s="52"/>
      <c r="J96" s="219">
        <v>2</v>
      </c>
      <c r="K96" s="51" t="s">
        <v>13</v>
      </c>
      <c r="L96" s="51"/>
      <c r="M96" s="52"/>
      <c r="N96" s="52"/>
      <c r="O96" s="56"/>
      <c r="Q96" s="9"/>
      <c r="R96" s="9"/>
      <c r="S96" s="9"/>
      <c r="T96" s="9"/>
      <c r="U96" s="9"/>
      <c r="V96" s="9"/>
      <c r="W96" s="9"/>
      <c r="X96" s="9"/>
      <c r="Y96" s="9"/>
      <c r="Z96" s="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</row>
    <row r="97" spans="1:37" ht="18" x14ac:dyDescent="0.25">
      <c r="B97" s="50"/>
      <c r="C97" s="51" t="s">
        <v>14</v>
      </c>
      <c r="D97" s="52"/>
      <c r="E97" s="52"/>
      <c r="F97" s="52"/>
      <c r="G97" s="52"/>
      <c r="H97" s="52"/>
      <c r="I97" s="52"/>
      <c r="J97" s="259"/>
      <c r="K97" s="51"/>
      <c r="L97" s="51"/>
      <c r="M97" s="52"/>
      <c r="N97" s="52"/>
      <c r="O97" s="56"/>
      <c r="Q97" s="9"/>
      <c r="R97" s="9"/>
      <c r="S97" s="9"/>
      <c r="T97" s="9"/>
      <c r="U97" s="9"/>
      <c r="V97" s="9"/>
      <c r="W97" s="9"/>
      <c r="X97" s="9"/>
      <c r="Y97" s="9"/>
      <c r="Z97" s="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</row>
    <row r="98" spans="1:37" ht="18.75" thickBot="1" x14ac:dyDescent="0.3">
      <c r="B98" s="137"/>
      <c r="C98" s="30"/>
      <c r="D98" s="30"/>
      <c r="E98" s="30"/>
      <c r="F98" s="30"/>
      <c r="G98" s="14"/>
      <c r="H98" s="14"/>
      <c r="I98" s="14"/>
      <c r="J98" s="48"/>
      <c r="K98" s="257"/>
      <c r="L98" s="257"/>
      <c r="M98" s="14"/>
      <c r="N98" s="14"/>
      <c r="O98" s="56"/>
      <c r="Q98" s="9"/>
      <c r="R98" s="9"/>
      <c r="S98" s="9"/>
      <c r="T98" s="9"/>
      <c r="U98" s="9"/>
      <c r="V98" s="9"/>
      <c r="W98" s="9"/>
      <c r="X98" s="9"/>
      <c r="Y98" s="9"/>
      <c r="Z98" s="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</row>
    <row r="99" spans="1:37" ht="18.75" thickBot="1" x14ac:dyDescent="0.3">
      <c r="B99" s="260" t="s">
        <v>15</v>
      </c>
      <c r="C99" s="59"/>
      <c r="D99" s="59"/>
      <c r="E99" s="59"/>
      <c r="F99" s="59"/>
      <c r="G99" s="59"/>
      <c r="H99" s="59"/>
      <c r="I99" s="59"/>
      <c r="J99" s="261">
        <f>RATE(J96,J94,-J90+J92,,0)</f>
        <v>0.69570638494418002</v>
      </c>
      <c r="K99" s="262" t="s">
        <v>16</v>
      </c>
      <c r="L99" s="263"/>
      <c r="M99" s="152"/>
      <c r="N99" s="152"/>
      <c r="O99" s="133"/>
      <c r="Q99" s="9"/>
      <c r="R99" s="9"/>
      <c r="S99" s="9"/>
      <c r="T99" s="9"/>
      <c r="U99" s="9"/>
      <c r="V99" s="9"/>
      <c r="W99" s="9"/>
      <c r="X99" s="9"/>
      <c r="Y99" s="9"/>
      <c r="Z99" s="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</row>
    <row r="100" spans="1:37" ht="18" x14ac:dyDescent="0.25">
      <c r="B100" s="264" t="s">
        <v>22</v>
      </c>
      <c r="C100" s="226" t="s">
        <v>34</v>
      </c>
      <c r="D100" s="93"/>
      <c r="E100" s="227" t="s">
        <v>96</v>
      </c>
      <c r="F100" s="265"/>
      <c r="G100" s="266" t="s">
        <v>98</v>
      </c>
      <c r="H100" s="77"/>
      <c r="I100" s="77"/>
      <c r="J100" s="79"/>
      <c r="K100" s="72" t="s">
        <v>32</v>
      </c>
      <c r="L100" s="267">
        <f>J90-J92</f>
        <v>1500</v>
      </c>
      <c r="M100" s="20"/>
      <c r="N100" s="20"/>
      <c r="O100" s="15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</row>
    <row r="101" spans="1:37" ht="20.25" x14ac:dyDescent="0.3">
      <c r="B101" s="232"/>
      <c r="C101" s="233" t="s">
        <v>75</v>
      </c>
      <c r="D101" s="11"/>
      <c r="E101" s="11"/>
      <c r="F101" s="211"/>
      <c r="G101" s="78" t="s">
        <v>51</v>
      </c>
      <c r="H101" s="77"/>
      <c r="I101" s="77"/>
      <c r="J101" s="79"/>
      <c r="K101" s="80" t="s">
        <v>32</v>
      </c>
      <c r="L101" s="268">
        <f>J94</f>
        <v>1600</v>
      </c>
      <c r="O101" s="7"/>
      <c r="P101" s="7"/>
      <c r="Q101" s="39"/>
      <c r="R101" s="39"/>
      <c r="S101" s="9"/>
      <c r="T101" s="9"/>
      <c r="U101" s="9"/>
      <c r="V101" s="9"/>
      <c r="W101" s="9"/>
      <c r="X101" s="9"/>
      <c r="Y101" s="9"/>
      <c r="Z101" s="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</row>
    <row r="102" spans="1:37" x14ac:dyDescent="0.25">
      <c r="B102" s="269" t="s">
        <v>23</v>
      </c>
      <c r="C102" s="270"/>
      <c r="D102" s="121"/>
      <c r="E102" s="271" t="s">
        <v>95</v>
      </c>
      <c r="F102" s="272"/>
      <c r="G102" s="83" t="s">
        <v>52</v>
      </c>
      <c r="H102" s="77"/>
      <c r="I102" s="77"/>
      <c r="J102" s="79"/>
      <c r="K102" s="80" t="s">
        <v>32</v>
      </c>
      <c r="L102" s="273" t="s">
        <v>97</v>
      </c>
      <c r="O102" s="7"/>
      <c r="P102" s="7"/>
      <c r="Q102" s="39"/>
      <c r="R102" s="39"/>
      <c r="S102" s="9"/>
      <c r="T102" s="9"/>
      <c r="U102" s="9"/>
      <c r="V102" s="9"/>
      <c r="W102" s="9"/>
      <c r="X102" s="9"/>
      <c r="Y102" s="9"/>
      <c r="Z102" s="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</row>
    <row r="103" spans="1:37" ht="16.5" customHeight="1" x14ac:dyDescent="0.3">
      <c r="B103" s="10" t="s">
        <v>99</v>
      </c>
      <c r="C103" s="158"/>
      <c r="D103" s="11"/>
      <c r="E103" s="11"/>
      <c r="F103" s="211"/>
      <c r="G103" s="86" t="s">
        <v>53</v>
      </c>
      <c r="H103" s="75"/>
      <c r="I103" s="75"/>
      <c r="J103" s="75"/>
      <c r="K103" s="87" t="s">
        <v>32</v>
      </c>
      <c r="L103" s="169">
        <f>J96</f>
        <v>2</v>
      </c>
      <c r="O103" s="7"/>
      <c r="P103" s="7"/>
      <c r="Q103" s="39"/>
      <c r="R103" s="39"/>
      <c r="S103" s="9"/>
      <c r="T103" s="9"/>
      <c r="U103" s="9"/>
      <c r="V103" s="9"/>
      <c r="W103" s="9"/>
      <c r="X103" s="9"/>
      <c r="Y103" s="9"/>
      <c r="Z103" s="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</row>
    <row r="104" spans="1:37" x14ac:dyDescent="0.25">
      <c r="H104" s="274">
        <f>-J96</f>
        <v>-2</v>
      </c>
      <c r="I104" s="7" t="str">
        <f xml:space="preserve"> IF(J96&gt;=3," A equação resultante poderá ser resolvida por algum","")</f>
        <v/>
      </c>
      <c r="O104" s="7"/>
      <c r="P104" s="7"/>
      <c r="Q104" s="39"/>
      <c r="R104" s="39"/>
      <c r="S104" s="9"/>
      <c r="T104" s="9"/>
      <c r="U104" s="9"/>
      <c r="V104" s="9"/>
      <c r="W104" s="9"/>
      <c r="X104" s="9"/>
      <c r="Y104" s="9"/>
      <c r="Z104" s="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</row>
    <row r="105" spans="1:37" ht="13.5" customHeight="1" x14ac:dyDescent="0.3">
      <c r="B105" s="93" t="s">
        <v>24</v>
      </c>
      <c r="C105" s="275">
        <f>J90-J92</f>
        <v>1500</v>
      </c>
      <c r="D105" s="276" t="s">
        <v>27</v>
      </c>
      <c r="E105" s="277">
        <f>J94</f>
        <v>1600</v>
      </c>
      <c r="F105" s="278" t="s">
        <v>85</v>
      </c>
      <c r="G105" s="279" t="s">
        <v>100</v>
      </c>
      <c r="H105" s="280"/>
      <c r="I105" s="7" t="str">
        <f xml:space="preserve"> IF(J96&gt;=3,"método numérico,  por tentativa ou com tabelas financeiras","")</f>
        <v/>
      </c>
      <c r="O105" s="7"/>
      <c r="P105" s="7"/>
      <c r="Q105" s="39"/>
      <c r="R105" s="39"/>
      <c r="S105" s="9"/>
      <c r="T105" s="9"/>
      <c r="U105" s="9"/>
      <c r="V105" s="9"/>
      <c r="W105" s="9"/>
      <c r="X105" s="9"/>
      <c r="Y105" s="9"/>
      <c r="Z105" s="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</row>
    <row r="106" spans="1:37" ht="13.5" customHeight="1" x14ac:dyDescent="0.3">
      <c r="B106" s="281" t="str">
        <f>IF(J96=2,"Quando o número de parcelas é 2 A equação (3)  ficará de grau  2, e pode ser resolvida pela forma de Báskara, após alguma operações","")</f>
        <v>Quando o número de parcelas é 2 A equação (3)  ficará de grau  2, e pode ser resolvida pela forma de Báskara, após alguma operações</v>
      </c>
      <c r="C106" s="275"/>
      <c r="D106" s="276"/>
      <c r="E106" s="277"/>
      <c r="F106" s="278"/>
      <c r="G106" s="279"/>
      <c r="H106" s="280"/>
      <c r="O106" s="7"/>
      <c r="P106" s="7"/>
      <c r="Q106" s="39"/>
      <c r="R106" s="39"/>
      <c r="S106" s="9"/>
      <c r="T106" s="9"/>
      <c r="U106" s="9"/>
      <c r="V106" s="9"/>
      <c r="W106" s="9"/>
      <c r="X106" s="9"/>
      <c r="Y106" s="9"/>
      <c r="Z106" s="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</row>
    <row r="107" spans="1:37" ht="20.25" customHeight="1" x14ac:dyDescent="0.25">
      <c r="A107" s="313"/>
      <c r="C107" s="282" t="s">
        <v>103</v>
      </c>
      <c r="F107" s="39"/>
      <c r="H107" s="274">
        <f>-J96</f>
        <v>-2</v>
      </c>
      <c r="O107" s="7"/>
      <c r="P107" s="7"/>
      <c r="Q107" s="39"/>
      <c r="R107" s="39"/>
      <c r="S107" s="9"/>
      <c r="T107" s="9"/>
      <c r="U107" s="9"/>
      <c r="V107" s="9"/>
      <c r="W107" s="9"/>
      <c r="X107" s="9"/>
      <c r="Y107" s="9"/>
      <c r="Z107" s="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</row>
    <row r="108" spans="1:37" ht="16.5" customHeight="1" x14ac:dyDescent="0.35">
      <c r="D108" s="283" t="s">
        <v>101</v>
      </c>
      <c r="E108" s="284">
        <f>TRUNC(C105/E105*100000)/100000</f>
        <v>0.9375</v>
      </c>
      <c r="F108" s="285" t="s">
        <v>58</v>
      </c>
      <c r="G108" s="279" t="s">
        <v>102</v>
      </c>
      <c r="H108" s="280"/>
      <c r="I108" s="286" t="str">
        <f>IF(J96&lt;=2," Multiplicando ambos os membros por i "," Resolver a equação da esquerda é o mesmo que ")</f>
        <v xml:space="preserve"> Multiplicando ambos os membros por i </v>
      </c>
      <c r="O108" s="7"/>
      <c r="P108" s="7"/>
      <c r="Q108" s="39"/>
      <c r="R108" s="39"/>
      <c r="S108" s="9"/>
      <c r="T108" s="9"/>
      <c r="U108" s="9"/>
      <c r="V108" s="9"/>
      <c r="W108" s="9"/>
      <c r="X108" s="9"/>
      <c r="Y108" s="9"/>
      <c r="Z108" s="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</row>
    <row r="109" spans="1:37" x14ac:dyDescent="0.25">
      <c r="E109" s="287" t="str">
        <f>IF(J96&lt;3,CONCATENATE(-J96, "   "),"")</f>
        <v xml:space="preserve">-2   </v>
      </c>
      <c r="G109" s="286" t="str">
        <f>IF(J96&gt;2,"encontrar a raíz positiva de f(i) ","")</f>
        <v/>
      </c>
      <c r="J109" s="288" t="str">
        <f>IF(J96=2,CONCATENATE("     ",L103),"")</f>
        <v xml:space="preserve">     2</v>
      </c>
      <c r="O109" s="7"/>
      <c r="P109" s="7"/>
      <c r="Q109" s="39"/>
      <c r="R109" s="39"/>
      <c r="S109" s="9"/>
      <c r="T109" s="9"/>
      <c r="U109" s="9"/>
      <c r="V109" s="9"/>
      <c r="W109" s="9"/>
      <c r="X109" s="9"/>
      <c r="Y109" s="9"/>
      <c r="Z109" s="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</row>
    <row r="110" spans="1:37" ht="15.75" customHeight="1" x14ac:dyDescent="0.25">
      <c r="C110" s="289" t="str">
        <f>IF(J96&lt;=2,CONCATENATE(TRUNC(100000*E108)/100000, " i  -  [ 1 -  (1 +  i )  ]  = 0 "),"")</f>
        <v xml:space="preserve">0,9375 i  -  [ 1 -  (1 +  i )  ]  = 0 </v>
      </c>
      <c r="G110" s="286" t="str">
        <f>IF(J96&lt;=2,"Multuplicando ambos os membros por (1+i  )   ",CONCATENATE("onde f(i)=", E108," -  [1-(1+i )^(-3) ] / i.    Escolha um Método"))</f>
        <v xml:space="preserve">Multuplicando ambos os membros por (1+i  )   </v>
      </c>
      <c r="O110" s="7"/>
      <c r="P110" s="7"/>
      <c r="Q110" s="39"/>
      <c r="R110" s="39"/>
      <c r="S110" s="9"/>
      <c r="T110" s="9"/>
      <c r="U110" s="9"/>
      <c r="V110" s="9"/>
      <c r="W110" s="9"/>
      <c r="X110" s="9"/>
      <c r="Y110" s="9"/>
      <c r="Z110" s="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</row>
    <row r="111" spans="1:37" ht="18.75" x14ac:dyDescent="0.3">
      <c r="C111" s="290"/>
      <c r="D111" s="291">
        <f>IF(J96=2,L103,"")</f>
        <v>2</v>
      </c>
      <c r="E111" s="292">
        <f>IF(J96=2,L103,"")</f>
        <v>2</v>
      </c>
      <c r="O111" s="7"/>
      <c r="P111" s="7"/>
      <c r="Q111" s="39"/>
      <c r="R111" s="39"/>
      <c r="S111" s="9"/>
      <c r="T111" s="9"/>
      <c r="U111" s="9"/>
      <c r="V111" s="9"/>
      <c r="W111" s="9"/>
      <c r="X111" s="9"/>
      <c r="Y111" s="9"/>
      <c r="Z111" s="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</row>
    <row r="112" spans="1:37" ht="15" customHeight="1" x14ac:dyDescent="0.25">
      <c r="C112" s="289" t="str">
        <f>IF(J96&lt;=2,CONCATENATE(TRUNC(100000*E108)/100000, "(1+i) i  - [ (1+i) - 1  ] = 0 "),"")</f>
        <v xml:space="preserve">0,9375(1+i) i  - [ (1+i) - 1  ] = 0 </v>
      </c>
      <c r="H112" s="286" t="str">
        <f>IF(J96=2,"Desenvolvedo os quadrados das somas de (1+ i) temos ",IF(J96=1,"Efetuando as multiplicações temos e deixanto todos os termos",""))</f>
        <v xml:space="preserve">Desenvolvedo os quadrados das somas de (1+ i) temos </v>
      </c>
      <c r="O112" s="7"/>
      <c r="P112" s="7"/>
      <c r="Q112" s="39"/>
      <c r="R112" s="39"/>
      <c r="S112" s="9"/>
      <c r="T112" s="9"/>
      <c r="U112" s="9"/>
      <c r="V112" s="9"/>
      <c r="W112" s="9"/>
      <c r="X112" s="9"/>
      <c r="Y112" s="9"/>
      <c r="Z112" s="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</row>
    <row r="113" spans="2:37" x14ac:dyDescent="0.25">
      <c r="C113" s="289"/>
      <c r="F113" s="293" t="str">
        <f>IF(  J96=2,"2    ",IF(J96=1,"2   ", ""))</f>
        <v xml:space="preserve">2    </v>
      </c>
      <c r="H113" s="294" t="str">
        <f>IF(J96=2,"           2 ",IF(J96=1, " no primeiro membro", ""))</f>
        <v xml:space="preserve">           2 </v>
      </c>
      <c r="O113" s="7"/>
      <c r="P113" s="7"/>
      <c r="Q113" s="39"/>
      <c r="R113" s="39"/>
      <c r="S113" s="9"/>
      <c r="T113" s="9"/>
      <c r="U113" s="9"/>
      <c r="V113" s="9"/>
      <c r="W113" s="9"/>
      <c r="X113" s="9"/>
      <c r="Y113" s="9"/>
      <c r="Z113" s="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</row>
    <row r="114" spans="2:37" ht="15" customHeight="1" x14ac:dyDescent="0.3">
      <c r="C114" s="290" t="str">
        <f>IF(J96=2,CONCATENATE(TRUNC(100000*E108)/100000,"( 1  +  2i   +   i   ) i  -  [ (1 + 2i  +  i   )  -  1 ] = 0"), IF(J96=1,CONCATENATE(E108,"i     +    ",E108,"i   -   i    = 0",),""))</f>
        <v>0,9375( 1  +  2i   +   i   ) i  -  [ (1 + 2i  +  i   )  -  1 ] = 0</v>
      </c>
      <c r="J114" s="295"/>
      <c r="K114" s="296" t="str">
        <f>IF(J96=1,"Dividindo tudo por i","")</f>
        <v/>
      </c>
      <c r="O114" s="7"/>
      <c r="P114" s="7"/>
      <c r="Q114" s="39"/>
      <c r="R114" s="39"/>
      <c r="S114" s="9"/>
      <c r="T114" s="9"/>
      <c r="U114" s="9"/>
      <c r="V114" s="9"/>
      <c r="W114" s="9"/>
      <c r="X114" s="9"/>
      <c r="Y114" s="9"/>
      <c r="Z114" s="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</row>
    <row r="115" spans="2:37" s="297" customFormat="1" ht="18.75" x14ac:dyDescent="0.3">
      <c r="C115" s="290"/>
      <c r="E115" s="298" t="str">
        <f>IF(J96=2,CONCATENATE(L103,"            "),"")</f>
        <v xml:space="preserve">2            </v>
      </c>
      <c r="G115" s="299" t="str">
        <f>IF(J96=2,"3","")</f>
        <v>3</v>
      </c>
      <c r="H115" s="299">
        <f>IF(J96=2,L103,"")</f>
        <v>2</v>
      </c>
      <c r="J115" s="7" t="str">
        <f>IF(J96=2,"e deixanto todos os termos no  1º membro ","")</f>
        <v xml:space="preserve">e deixanto todos os termos no  1º membro </v>
      </c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</row>
    <row r="116" spans="2:37" ht="12.75" customHeight="1" x14ac:dyDescent="0.25">
      <c r="B116" s="20"/>
      <c r="C116" s="105" t="str">
        <f>IF(J96=2,CONCATENATE(TRUNC(100000*E108)/100000,"i  +  ",TRUNC(2*100000*E108)/100000, " i  +  ", TRUNC(100000*E108)/100000,"i   ","  -  2i  -  i  = 0"),IF(J96=1,CONCATENATE(E108,"  +  ",E108,"i   -  1 = 0 "),""))</f>
        <v>0,9375i  +  1,875 i  +  0,9375i     -  2i  -  i  = 0</v>
      </c>
      <c r="D116" s="20"/>
      <c r="E116" s="20"/>
      <c r="F116" s="20"/>
      <c r="I116" s="99" t="str">
        <f>IF(J96=2," Juntando os termos semelhantes e dividindo todos os termos por i temos",IF(J96=1,CONCATENATE(E108,"i   =   1  -   ",E108),""))</f>
        <v xml:space="preserve"> Juntando os termos semelhantes e dividindo todos os termos por i temos</v>
      </c>
      <c r="J116" s="20"/>
      <c r="K116" s="20"/>
      <c r="L116" s="20"/>
      <c r="M116" s="20"/>
      <c r="N116" s="20"/>
      <c r="O116" s="15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</row>
    <row r="117" spans="2:37" ht="18" x14ac:dyDescent="0.25">
      <c r="B117" s="20"/>
      <c r="C117" s="20"/>
      <c r="D117" s="101" t="str">
        <f>IF(J96=2,"2","")</f>
        <v>2</v>
      </c>
      <c r="E117" s="20"/>
      <c r="F117" s="20"/>
      <c r="G117" s="20"/>
      <c r="H117" s="300"/>
      <c r="I117" s="99" t="str">
        <f>IF(J96=1,CONCATENATE("i= ", 1-E108," / ",E108),"")</f>
        <v/>
      </c>
      <c r="J117" s="20"/>
      <c r="K117" s="20"/>
      <c r="L117" s="301" t="str">
        <f>IF(J96=2,"2","")</f>
        <v>2</v>
      </c>
      <c r="N117" s="20"/>
      <c r="O117" s="15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</row>
    <row r="118" spans="2:37" s="302" customFormat="1" ht="15.75" customHeight="1" x14ac:dyDescent="0.25">
      <c r="B118" s="30"/>
      <c r="C118" s="30" t="str">
        <f>IF(J96=2,CONCATENATE(E108,"i    +    ",2*E108-1,"i      ",E108-2,"=0" ),"")</f>
        <v>0,9375i    +    0,875i      -1,0625=0</v>
      </c>
      <c r="D118" s="30"/>
      <c r="E118" s="30"/>
      <c r="F118" s="30"/>
      <c r="G118" s="30"/>
      <c r="H118" s="30"/>
      <c r="I118" s="99" t="str">
        <f>IF(J96=1,CONCATENATE("i  =  ", TRUNC( 100000*(1-E108) / E108)/100000 ),"")</f>
        <v/>
      </c>
      <c r="J118" s="30"/>
      <c r="K118" s="30"/>
      <c r="L118" s="30"/>
      <c r="M118" s="30"/>
      <c r="N118" s="30"/>
      <c r="O118" s="30"/>
      <c r="P118" s="297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9"/>
      <c r="AB118" s="309"/>
      <c r="AC118" s="309"/>
      <c r="AD118" s="309"/>
      <c r="AE118" s="309"/>
      <c r="AF118" s="309"/>
      <c r="AG118" s="309"/>
      <c r="AH118" s="309"/>
      <c r="AI118" s="309"/>
      <c r="AJ118" s="309"/>
      <c r="AK118" s="309"/>
    </row>
    <row r="119" spans="2:37" ht="18" x14ac:dyDescent="0.25">
      <c r="B119" s="20"/>
      <c r="D119" s="20"/>
      <c r="E119" s="20"/>
      <c r="F119" s="20"/>
      <c r="G119" s="20"/>
      <c r="H119" s="20"/>
      <c r="I119" s="99" t="str">
        <f>IF(J96=1,CONCATENATE("i  =  ", TRUNC( 100000*(1-E108) / E108)/100000,"x 100"),"")</f>
        <v/>
      </c>
      <c r="J119" s="20"/>
      <c r="K119" s="20"/>
      <c r="L119" s="20"/>
      <c r="M119" s="20"/>
      <c r="N119" s="20"/>
      <c r="O119" s="15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</row>
    <row r="120" spans="2:37" ht="18" x14ac:dyDescent="0.25">
      <c r="B120" s="20"/>
      <c r="C120" s="303" t="str">
        <f>IF(J96=2,CONCATENATE(" onde  x = i ;  a = ",E108,"  b = ",2*E108-1," e   c = ",E108-2),"")</f>
        <v xml:space="preserve"> onde  x = i ;  a = 0,9375  b = 0,875 e   c = -1,0625</v>
      </c>
      <c r="I120" s="304" t="str">
        <f>IF(J96=1,CONCATENATE("i  =  ", TRUNC( 100000*(1-E108) / E108)/100000*100),"")</f>
        <v/>
      </c>
      <c r="J120" s="286" t="str">
        <f xml:space="preserve"> IF(J96=1,"%","")</f>
        <v/>
      </c>
      <c r="M120" s="20"/>
      <c r="N120" s="20"/>
      <c r="O120" s="15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</row>
    <row r="121" spans="2:37" s="302" customFormat="1" ht="18" x14ac:dyDescent="0.25">
      <c r="B121" s="30"/>
      <c r="C121" s="303" t="str">
        <f>IF(J96=2,CONCATENATE("x=(-b+(b^2-4*a*c)^(1/2))/(2*a)" ),"")</f>
        <v>x=(-b+(b^2-4*a*c)^(1/2))/(2*a)</v>
      </c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297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9"/>
      <c r="AB121" s="309"/>
      <c r="AC121" s="309"/>
      <c r="AD121" s="309"/>
      <c r="AE121" s="309"/>
      <c r="AF121" s="309"/>
      <c r="AG121" s="309"/>
      <c r="AH121" s="309"/>
      <c r="AI121" s="309"/>
      <c r="AJ121" s="309"/>
      <c r="AK121" s="309"/>
    </row>
    <row r="122" spans="2:37" s="302" customFormat="1" ht="18" x14ac:dyDescent="0.25">
      <c r="B122" s="30"/>
      <c r="C122" s="303" t="str">
        <f>IF(J96=2,CONCATENATE("i = (   - ",E108*2-1,"  +   (    ", E108*2-1," ^ 2  -   4 * ", E108, " * (",E108-2,")      ) ^ (1/2)      )    /    (  2 * ", E108,"  )" ),"")</f>
        <v>i = (   - 0,875  +   (    0,875 ^ 2  -   4 * 0,9375 * (-1,0625)      ) ^ (1/2)      )    /    (  2 * 0,9375  )</v>
      </c>
      <c r="M122" s="30"/>
      <c r="N122" s="30"/>
      <c r="O122" s="30"/>
      <c r="P122" s="297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9"/>
      <c r="AB122" s="309"/>
      <c r="AC122" s="309"/>
      <c r="AD122" s="309"/>
      <c r="AE122" s="309"/>
      <c r="AF122" s="309"/>
      <c r="AG122" s="309"/>
      <c r="AH122" s="309"/>
      <c r="AI122" s="309"/>
      <c r="AJ122" s="309"/>
      <c r="AK122" s="309"/>
    </row>
    <row r="123" spans="2:37" ht="18" x14ac:dyDescent="0.25">
      <c r="B123" s="30"/>
      <c r="D123" s="105" t="str">
        <f>IF(J96=2,"i = ","")</f>
        <v xml:space="preserve">i = </v>
      </c>
      <c r="E123" s="305">
        <f>IF(J96=2,(-1*(E108*2-1) + ( (E108*2-1)^2-4*E108*(-2+E108)   )^(1/2)    )  /  (2*E108),"")</f>
        <v>0.69570638494417969</v>
      </c>
      <c r="F123" s="303" t="str">
        <f>IF(J96=2,CONCATENATE("&lt;= taxa unitária . Em taxa porcentual temos 100x",TRUNC(100000*E123)/100000," = ", 100*TRUNC(100000*E123)/100000,"%"), "")</f>
        <v>&lt;= taxa unitária . Em taxa porcentual temos 100x0,6957 = 69,57%</v>
      </c>
      <c r="G123" s="20"/>
      <c r="H123" s="20"/>
      <c r="I123" s="20"/>
      <c r="J123" s="20"/>
      <c r="L123" s="20"/>
      <c r="M123" s="20"/>
      <c r="N123" s="20"/>
      <c r="O123" s="15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4" r:id="rId1"/>
  <headerFooter alignWithMargins="0"/>
  <ignoredErrors>
    <ignoredError sqref="I20 H21 L16 L18:L19 G22 E23 C21:C24 E21 J33 J35 J39 J41:J42 M44:M46 L49 N49 M51 J49 J51:J52 H49 H51:H54 E51:E55 E49 J62 J64 J66 J68 J71:J72 L74:L76 I77 H78 E78 J78 H80:H81 E80:E83 I82 G82 J80:J81 H84 J84 L84 J90 J92 C105 E105 H104:I104 E108:E109 G109 H107 I105 I108 J109 D111:E111 C110 C112 C114 C116 C118 C120:C122 D117 E115 F113 H112:H113 G115:H115 J115 I116:I120 K114 L117 J120 D123:F123 L100:L101 J99 L103 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Tânia Michel Pereira</dc:creator>
  <cp:lastModifiedBy>24328</cp:lastModifiedBy>
  <dcterms:created xsi:type="dcterms:W3CDTF">2004-06-25T19:23:05Z</dcterms:created>
  <dcterms:modified xsi:type="dcterms:W3CDTF">2021-07-04T03:19:11Z</dcterms:modified>
</cp:coreProperties>
</file>