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uário\Desktop\pre-calculo\"/>
    </mc:Choice>
  </mc:AlternateContent>
  <bookViews>
    <workbookView xWindow="12" yWindow="-36" windowWidth="12036" windowHeight="5268" tabRatio="1000" activeTab="1"/>
  </bookViews>
  <sheets>
    <sheet name="Inicio" sheetId="1" r:id="rId1"/>
    <sheet name="densid1" sheetId="35" r:id="rId2"/>
    <sheet name="d2" sheetId="34" r:id="rId3"/>
    <sheet name="3" sheetId="36" r:id="rId4"/>
    <sheet name="4 " sheetId="37" r:id="rId5"/>
    <sheet name="5" sheetId="38" r:id="rId6"/>
    <sheet name="6" sheetId="39" r:id="rId7"/>
    <sheet name="proba1" sheetId="30" r:id="rId8"/>
    <sheet name="2" sheetId="43" r:id="rId9"/>
    <sheet name="%1" sheetId="28" r:id="rId10"/>
    <sheet name="%2" sheetId="41" r:id="rId11"/>
    <sheet name="%3" sheetId="44" r:id="rId12"/>
    <sheet name="%4" sheetId="42" r:id="rId13"/>
    <sheet name="%5" sheetId="45" r:id="rId14"/>
    <sheet name="%6" sheetId="53" r:id="rId15"/>
    <sheet name="%7" sheetId="51" r:id="rId16"/>
    <sheet name="%8" sheetId="58" r:id="rId17"/>
    <sheet name="%9" sheetId="27" r:id="rId18"/>
    <sheet name="%10" sheetId="26" r:id="rId19"/>
    <sheet name="RTrig1" sheetId="50" r:id="rId20"/>
    <sheet name="RT2" sheetId="56" r:id="rId21"/>
    <sheet name="RT3" sheetId="54" r:id="rId22"/>
    <sheet name="RT4" sheetId="57" r:id="rId23"/>
    <sheet name="RT5" sheetId="32" r:id="rId24"/>
    <sheet name="RT6" sheetId="33" r:id="rId25"/>
    <sheet name="RT7" sheetId="59" r:id="rId26"/>
    <sheet name="RT8" sheetId="61" r:id="rId27"/>
    <sheet name="RT9" sheetId="62" r:id="rId28"/>
    <sheet name="RT10" sheetId="63" r:id="rId29"/>
    <sheet name="tubo" sheetId="66" r:id="rId30"/>
    <sheet name="FIM-" sheetId="60" r:id="rId31"/>
    <sheet name="nootDes" sheetId="64" r:id="rId32"/>
    <sheet name="imagens" sheetId="40" r:id="rId33"/>
    <sheet name="Note_Au" sheetId="25" r:id="rId34"/>
    <sheet name="tijolo" sheetId="29" r:id="rId35"/>
    <sheet name="chur" sheetId="31" r:id="rId36"/>
    <sheet name="Exer1e2" sheetId="2" r:id="rId37"/>
    <sheet name="L.S.Custo" sheetId="7" r:id="rId38"/>
    <sheet name="L.S.Venda" sheetId="6" r:id="rId39"/>
    <sheet name="Exer3e4" sheetId="16" r:id="rId40"/>
    <sheet name="PrejSC." sheetId="10" r:id="rId41"/>
    <sheet name="PrejSV" sheetId="8" r:id="rId42"/>
    <sheet name="Exer5e6" sheetId="17" r:id="rId43"/>
    <sheet name="RSo" sheetId="11" r:id="rId44"/>
    <sheet name="Exer7" sheetId="18" r:id="rId45"/>
    <sheet name="R3" sheetId="12" r:id="rId46"/>
    <sheet name="Exer8e9" sheetId="14" r:id="rId47"/>
    <sheet name="JS" sheetId="9" r:id="rId48"/>
    <sheet name="JC" sheetId="13" r:id="rId49"/>
    <sheet name="Final1" sheetId="65" r:id="rId50"/>
    <sheet name="Fim" sheetId="15" r:id="rId51"/>
    <sheet name="Plan1" sheetId="21" r:id="rId52"/>
    <sheet name="Plan2" sheetId="22" r:id="rId53"/>
    <sheet name="Plan3" sheetId="23" r:id="rId54"/>
    <sheet name="Plan4" sheetId="24" r:id="rId55"/>
    <sheet name="Plan7" sheetId="19" r:id="rId56"/>
    <sheet name="Plan8" sheetId="20" r:id="rId57"/>
    <sheet name="nucaExluir" sheetId="5" r:id="rId58"/>
  </sheets>
  <calcPr calcId="152511"/>
</workbook>
</file>

<file path=xl/calcChain.xml><?xml version="1.0" encoding="utf-8"?>
<calcChain xmlns="http://schemas.openxmlformats.org/spreadsheetml/2006/main">
  <c r="M18" i="66" l="1"/>
  <c r="O15" i="66"/>
  <c r="M16" i="66"/>
  <c r="M15" i="66"/>
  <c r="E19" i="62"/>
  <c r="K20" i="62" s="1"/>
  <c r="E9" i="33"/>
  <c r="D17" i="32"/>
  <c r="R20" i="32" s="1"/>
  <c r="E18" i="32"/>
  <c r="B2" i="45"/>
  <c r="F8" i="44"/>
  <c r="D8" i="44"/>
  <c r="F7" i="30"/>
  <c r="E9" i="32"/>
  <c r="L19" i="39"/>
  <c r="L11" i="39"/>
  <c r="L10" i="39"/>
  <c r="L10" i="38"/>
  <c r="L11" i="38"/>
  <c r="Q15" i="66" l="1"/>
  <c r="M17" i="66" s="1"/>
  <c r="O17" i="66"/>
  <c r="M19" i="66"/>
  <c r="P20" i="32"/>
  <c r="L11" i="36"/>
  <c r="L10" i="36"/>
  <c r="L9" i="34"/>
  <c r="L10" i="34"/>
  <c r="L11" i="34"/>
  <c r="L9" i="35"/>
  <c r="L10" i="35"/>
  <c r="L11" i="35"/>
  <c r="D13" i="53"/>
  <c r="C10" i="53"/>
  <c r="D14" i="53" s="1"/>
  <c r="C17" i="53" s="1"/>
  <c r="C18" i="53" s="1"/>
  <c r="G13" i="53"/>
  <c r="F10" i="53"/>
  <c r="G14" i="53" s="1"/>
  <c r="F8" i="53"/>
  <c r="C11" i="53" s="1"/>
  <c r="D15" i="53" s="1"/>
  <c r="I17" i="53" s="1"/>
  <c r="E18" i="53" s="1"/>
  <c r="D8" i="53"/>
  <c r="B2" i="53"/>
  <c r="C12" i="42"/>
  <c r="D16" i="42" s="1"/>
  <c r="C19" i="42" s="1"/>
  <c r="J9" i="45"/>
  <c r="D14" i="28"/>
  <c r="C12" i="41"/>
  <c r="D14" i="41"/>
  <c r="B25" i="64"/>
  <c r="E24" i="64"/>
  <c r="F21" i="64"/>
  <c r="H25" i="64" s="1"/>
  <c r="F20" i="64"/>
  <c r="F12" i="64"/>
  <c r="C12" i="64"/>
  <c r="F11" i="64"/>
  <c r="F14" i="64" s="1"/>
  <c r="D11" i="64"/>
  <c r="D10" i="64"/>
  <c r="I8" i="64"/>
  <c r="J11" i="64" s="1"/>
  <c r="C14" i="64" s="1"/>
  <c r="E7" i="64"/>
  <c r="F10" i="64" s="1"/>
  <c r="F13" i="64" s="1"/>
  <c r="A1" i="64"/>
  <c r="N23" i="42"/>
  <c r="G23" i="42"/>
  <c r="O22" i="42"/>
  <c r="H22" i="42"/>
  <c r="G15" i="42"/>
  <c r="E20" i="42" s="1"/>
  <c r="G14" i="42"/>
  <c r="D14" i="42"/>
  <c r="F11" i="42"/>
  <c r="J9" i="42"/>
  <c r="F8" i="42"/>
  <c r="D23" i="42" s="1"/>
  <c r="D8" i="42"/>
  <c r="B2" i="42"/>
  <c r="G13" i="44"/>
  <c r="D13" i="44"/>
  <c r="C11" i="44"/>
  <c r="D15" i="44" s="1"/>
  <c r="C10" i="44"/>
  <c r="D14" i="44" s="1"/>
  <c r="F10" i="44"/>
  <c r="G14" i="44" s="1"/>
  <c r="J8" i="44"/>
  <c r="F11" i="44" s="1"/>
  <c r="G15" i="44" s="1"/>
  <c r="E19" i="44" s="1"/>
  <c r="N23" i="41"/>
  <c r="C19" i="41"/>
  <c r="G14" i="41"/>
  <c r="F11" i="41"/>
  <c r="G15" i="41" s="1"/>
  <c r="E20" i="41" s="1"/>
  <c r="J9" i="41"/>
  <c r="F12" i="41" s="1"/>
  <c r="G16" i="41" s="1"/>
  <c r="H19" i="41" s="1"/>
  <c r="F23" i="41" s="1"/>
  <c r="N23" i="45"/>
  <c r="G23" i="45"/>
  <c r="O22" i="45"/>
  <c r="H22" i="45"/>
  <c r="G16" i="45"/>
  <c r="H19" i="45" s="1"/>
  <c r="F23" i="45" s="1"/>
  <c r="G15" i="45"/>
  <c r="E20" i="45" s="1"/>
  <c r="G14" i="45"/>
  <c r="D16" i="45"/>
  <c r="C19" i="45" s="1"/>
  <c r="D14" i="45"/>
  <c r="F12" i="45"/>
  <c r="F11" i="45"/>
  <c r="C12" i="45"/>
  <c r="D23" i="45"/>
  <c r="D8" i="45"/>
  <c r="D15" i="45" s="1"/>
  <c r="E19" i="45" s="1"/>
  <c r="D23" i="28"/>
  <c r="K23" i="28" s="1"/>
  <c r="Q20" i="54"/>
  <c r="R18" i="54"/>
  <c r="H20" i="54"/>
  <c r="F21" i="54"/>
  <c r="F20" i="54"/>
  <c r="P18" i="54"/>
  <c r="F19" i="54"/>
  <c r="F18" i="54"/>
  <c r="D13" i="54"/>
  <c r="E19" i="56"/>
  <c r="D16" i="56"/>
  <c r="E20" i="56" s="1"/>
  <c r="O18" i="56"/>
  <c r="E17" i="56"/>
  <c r="G17" i="56"/>
  <c r="N18" i="63"/>
  <c r="E20" i="63"/>
  <c r="E18" i="63"/>
  <c r="G13" i="63"/>
  <c r="G11" i="63"/>
  <c r="G6" i="63"/>
  <c r="G10" i="63"/>
  <c r="G11" i="62"/>
  <c r="E20" i="61"/>
  <c r="K21" i="61" s="1"/>
  <c r="B19" i="61"/>
  <c r="I18" i="61" s="1"/>
  <c r="G11" i="61"/>
  <c r="G6" i="61"/>
  <c r="K10" i="62"/>
  <c r="K13" i="62" s="1"/>
  <c r="K13" i="61"/>
  <c r="K11" i="61"/>
  <c r="K10" i="61"/>
  <c r="B21" i="63"/>
  <c r="K20" i="63" s="1"/>
  <c r="J20" i="63"/>
  <c r="I20" i="63"/>
  <c r="B20" i="63"/>
  <c r="B19" i="63"/>
  <c r="P18" i="63" s="1"/>
  <c r="B18" i="63"/>
  <c r="D14" i="63"/>
  <c r="G14" i="63" s="1"/>
  <c r="E9" i="63"/>
  <c r="G7" i="63"/>
  <c r="A1" i="63"/>
  <c r="B20" i="62"/>
  <c r="I19" i="62" s="1"/>
  <c r="J19" i="62"/>
  <c r="E17" i="62"/>
  <c r="D16" i="62"/>
  <c r="G13" i="62" s="1"/>
  <c r="G14" i="62"/>
  <c r="B14" i="62"/>
  <c r="B19" i="62" s="1"/>
  <c r="E9" i="62"/>
  <c r="G7" i="62"/>
  <c r="G6" i="62"/>
  <c r="A1" i="62"/>
  <c r="B21" i="61"/>
  <c r="I20" i="61" s="1"/>
  <c r="J20" i="61"/>
  <c r="E18" i="61"/>
  <c r="K19" i="61" s="1"/>
  <c r="D17" i="61"/>
  <c r="G14" i="61"/>
  <c r="E9" i="61"/>
  <c r="G7" i="61"/>
  <c r="A1" i="61"/>
  <c r="B16" i="59"/>
  <c r="E16" i="59"/>
  <c r="D13" i="59"/>
  <c r="B19" i="59" s="1"/>
  <c r="G6" i="59"/>
  <c r="J18" i="59"/>
  <c r="E18" i="59"/>
  <c r="B18" i="59"/>
  <c r="I18" i="59" s="1"/>
  <c r="G10" i="59"/>
  <c r="G9" i="59"/>
  <c r="E8" i="59"/>
  <c r="A1" i="59"/>
  <c r="B14" i="33"/>
  <c r="G13" i="33" s="1"/>
  <c r="E18" i="33"/>
  <c r="K19" i="33" s="1"/>
  <c r="D15" i="33"/>
  <c r="G11" i="33" s="1"/>
  <c r="B19" i="33"/>
  <c r="I18" i="33" s="1"/>
  <c r="J18" i="33"/>
  <c r="E16" i="33"/>
  <c r="G14" i="33"/>
  <c r="G7" i="33"/>
  <c r="G6" i="33"/>
  <c r="M18" i="42" l="1"/>
  <c r="O19" i="62"/>
  <c r="M19" i="62"/>
  <c r="K11" i="62"/>
  <c r="P20" i="63"/>
  <c r="L24" i="64"/>
  <c r="N20" i="63"/>
  <c r="J8" i="53"/>
  <c r="F11" i="53" s="1"/>
  <c r="G15" i="53" s="1"/>
  <c r="F17" i="53" s="1"/>
  <c r="O20" i="66"/>
  <c r="K21" i="66" s="1"/>
  <c r="M20" i="66"/>
  <c r="B18" i="62"/>
  <c r="P20" i="61"/>
  <c r="R20" i="61"/>
  <c r="B20" i="61"/>
  <c r="K20" i="61" s="1"/>
  <c r="R2" i="62"/>
  <c r="B17" i="62"/>
  <c r="G10" i="62"/>
  <c r="I18" i="45"/>
  <c r="M20" i="54"/>
  <c r="O19" i="56"/>
  <c r="Q19" i="56"/>
  <c r="K19" i="45"/>
  <c r="L23" i="45" s="1"/>
  <c r="C11" i="45"/>
  <c r="F12" i="42"/>
  <c r="G16" i="42"/>
  <c r="F18" i="42" s="1"/>
  <c r="C11" i="42"/>
  <c r="D15" i="42" s="1"/>
  <c r="E19" i="42" s="1"/>
  <c r="P18" i="59"/>
  <c r="N18" i="59"/>
  <c r="B17" i="59"/>
  <c r="K18" i="59"/>
  <c r="G13" i="59"/>
  <c r="E19" i="53"/>
  <c r="H18" i="53"/>
  <c r="M17" i="53"/>
  <c r="K18" i="53"/>
  <c r="L21" i="53" s="1"/>
  <c r="I18" i="42"/>
  <c r="H16" i="64"/>
  <c r="D17" i="64" s="1"/>
  <c r="C22" i="64"/>
  <c r="H24" i="64" s="1"/>
  <c r="D25" i="64" s="1"/>
  <c r="L16" i="64"/>
  <c r="H17" i="64"/>
  <c r="E16" i="64"/>
  <c r="B17" i="64"/>
  <c r="I7" i="64"/>
  <c r="F18" i="45"/>
  <c r="F8" i="45"/>
  <c r="C18" i="45" s="1"/>
  <c r="K18" i="63"/>
  <c r="G10" i="61"/>
  <c r="B18" i="61"/>
  <c r="N18" i="61" s="1"/>
  <c r="G13" i="61"/>
  <c r="K19" i="62"/>
  <c r="B18" i="33"/>
  <c r="G12" i="59"/>
  <c r="G10" i="33"/>
  <c r="B16" i="33"/>
  <c r="K18" i="33"/>
  <c r="B17" i="33"/>
  <c r="N17" i="62" l="1"/>
  <c r="P17" i="62"/>
  <c r="K17" i="62"/>
  <c r="R18" i="61"/>
  <c r="K18" i="61"/>
  <c r="N22" i="45"/>
  <c r="C18" i="42"/>
  <c r="K16" i="59"/>
  <c r="P16" i="59"/>
  <c r="N16" i="59"/>
  <c r="H19" i="42"/>
  <c r="F23" i="42" s="1"/>
  <c r="C13" i="64"/>
  <c r="J10" i="64"/>
  <c r="M18" i="45"/>
  <c r="P16" i="33"/>
  <c r="R16" i="33"/>
  <c r="R18" i="33"/>
  <c r="P18" i="33"/>
  <c r="K16" i="33"/>
  <c r="K19" i="42" l="1"/>
  <c r="N22" i="42" s="1"/>
  <c r="C21" i="64"/>
  <c r="B24" i="64" s="1"/>
  <c r="D26" i="64" s="1"/>
  <c r="J25" i="64" s="1"/>
  <c r="H29" i="64" s="1"/>
  <c r="B16" i="64"/>
  <c r="D18" i="64" s="1"/>
  <c r="J17" i="64" s="1"/>
  <c r="H28" i="64" s="1"/>
  <c r="L23" i="42"/>
  <c r="B21" i="32"/>
  <c r="B18" i="32"/>
  <c r="G14" i="32"/>
  <c r="G13" i="32"/>
  <c r="G10" i="32"/>
  <c r="G7" i="32"/>
  <c r="G6" i="32"/>
  <c r="Q22" i="60"/>
  <c r="E22" i="60"/>
  <c r="B22" i="60"/>
  <c r="I22" i="60" s="1"/>
  <c r="K20" i="60"/>
  <c r="P20" i="60" s="1"/>
  <c r="J20" i="60"/>
  <c r="I20" i="60"/>
  <c r="E20" i="60"/>
  <c r="K21" i="60" s="1"/>
  <c r="B18" i="60"/>
  <c r="G13" i="60" s="1"/>
  <c r="B23" i="60" s="1"/>
  <c r="K22" i="60" s="1"/>
  <c r="G15" i="60"/>
  <c r="E11" i="60"/>
  <c r="G8" i="60"/>
  <c r="A1" i="60"/>
  <c r="A1" i="33"/>
  <c r="B26" i="51"/>
  <c r="E25" i="51"/>
  <c r="F22" i="51"/>
  <c r="H26" i="51" s="1"/>
  <c r="F12" i="51"/>
  <c r="F15" i="51" s="1"/>
  <c r="D12" i="51"/>
  <c r="D11" i="51"/>
  <c r="I9" i="51"/>
  <c r="J12" i="51" s="1"/>
  <c r="C15" i="51" s="1"/>
  <c r="E8" i="51"/>
  <c r="A1" i="51"/>
  <c r="B24" i="58"/>
  <c r="E23" i="58"/>
  <c r="F20" i="58"/>
  <c r="H24" i="58" s="1"/>
  <c r="F10" i="58"/>
  <c r="F13" i="58" s="1"/>
  <c r="D10" i="58"/>
  <c r="D9" i="58"/>
  <c r="I7" i="58"/>
  <c r="J10" i="58" s="1"/>
  <c r="C13" i="58" s="1"/>
  <c r="E6" i="58"/>
  <c r="F9" i="58" s="1"/>
  <c r="F12" i="58" s="1"/>
  <c r="A1" i="58"/>
  <c r="O24" i="57"/>
  <c r="E24" i="57"/>
  <c r="G23" i="57"/>
  <c r="L24" i="57" s="1"/>
  <c r="O22" i="57"/>
  <c r="E22" i="57"/>
  <c r="G21" i="57"/>
  <c r="L22" i="57" s="1"/>
  <c r="F16" i="57"/>
  <c r="E16" i="57"/>
  <c r="E23" i="57" s="1"/>
  <c r="L23" i="57" s="1"/>
  <c r="O23" i="57" s="1"/>
  <c r="Q23" i="57" s="1"/>
  <c r="B2" i="57"/>
  <c r="G19" i="56"/>
  <c r="L19" i="56" s="1"/>
  <c r="E18" i="56"/>
  <c r="L18" i="56"/>
  <c r="F12" i="56"/>
  <c r="B2" i="56"/>
  <c r="H18" i="54"/>
  <c r="M18" i="54" s="1"/>
  <c r="P20" i="54"/>
  <c r="B2" i="54"/>
  <c r="O22" i="50"/>
  <c r="E22" i="50"/>
  <c r="G21" i="50"/>
  <c r="L22" i="50" s="1"/>
  <c r="E21" i="50"/>
  <c r="L21" i="50" s="1"/>
  <c r="O21" i="50" s="1"/>
  <c r="Q21" i="50" s="1"/>
  <c r="O20" i="50"/>
  <c r="E20" i="50"/>
  <c r="G19" i="50"/>
  <c r="L20" i="50" s="1"/>
  <c r="E19" i="50"/>
  <c r="L19" i="50" s="1"/>
  <c r="O19" i="50" s="1"/>
  <c r="Q19" i="50" s="1"/>
  <c r="F14" i="50"/>
  <c r="E14" i="50"/>
  <c r="B2" i="50"/>
  <c r="I17" i="44"/>
  <c r="E18" i="44" s="1"/>
  <c r="B2" i="44"/>
  <c r="D8" i="41"/>
  <c r="F8" i="41" s="1"/>
  <c r="B2" i="41"/>
  <c r="F7" i="43"/>
  <c r="H7" i="43" s="1"/>
  <c r="K7" i="43" s="1"/>
  <c r="F8" i="43"/>
  <c r="B2" i="43"/>
  <c r="E19" i="39"/>
  <c r="N14" i="39"/>
  <c r="O13" i="39"/>
  <c r="N13" i="39"/>
  <c r="L18" i="39" s="1"/>
  <c r="N12" i="39"/>
  <c r="N11" i="39"/>
  <c r="N10" i="39"/>
  <c r="P6" i="39"/>
  <c r="L9" i="39" s="1"/>
  <c r="P5" i="39"/>
  <c r="N9" i="39" s="1"/>
  <c r="O2" i="39"/>
  <c r="C2" i="39"/>
  <c r="L10" i="37"/>
  <c r="L11" i="37"/>
  <c r="O2" i="38"/>
  <c r="E19" i="38"/>
  <c r="L19" i="38" s="1"/>
  <c r="L9" i="38"/>
  <c r="N14" i="38"/>
  <c r="O13" i="38"/>
  <c r="N13" i="38"/>
  <c r="L18" i="38" s="1"/>
  <c r="N12" i="38"/>
  <c r="N11" i="38"/>
  <c r="N10" i="38"/>
  <c r="P6" i="38"/>
  <c r="P5" i="38"/>
  <c r="N9" i="38" s="1"/>
  <c r="C2" i="38"/>
  <c r="M16" i="38" l="1"/>
  <c r="E21" i="57"/>
  <c r="L21" i="57" s="1"/>
  <c r="O21" i="57" s="1"/>
  <c r="Q21" i="57" s="1"/>
  <c r="C16" i="39"/>
  <c r="I6" i="58"/>
  <c r="C12" i="58" s="1"/>
  <c r="B15" i="58" s="1"/>
  <c r="D17" i="58" s="1"/>
  <c r="E17" i="51"/>
  <c r="B18" i="51"/>
  <c r="L25" i="51"/>
  <c r="F11" i="51"/>
  <c r="F14" i="51" s="1"/>
  <c r="L17" i="51" s="1"/>
  <c r="I8" i="51"/>
  <c r="C14" i="51" s="1"/>
  <c r="B17" i="51" s="1"/>
  <c r="D19" i="51" s="1"/>
  <c r="D15" i="41"/>
  <c r="E19" i="41" s="1"/>
  <c r="C11" i="41"/>
  <c r="H15" i="39"/>
  <c r="H30" i="64"/>
  <c r="F17" i="44"/>
  <c r="H18" i="44"/>
  <c r="K18" i="44" s="1"/>
  <c r="F18" i="41"/>
  <c r="C18" i="41"/>
  <c r="H17" i="51"/>
  <c r="D18" i="51" s="1"/>
  <c r="C23" i="51"/>
  <c r="H25" i="51" s="1"/>
  <c r="D26" i="51" s="1"/>
  <c r="E15" i="58"/>
  <c r="B16" i="58"/>
  <c r="H16" i="58"/>
  <c r="L15" i="58"/>
  <c r="H15" i="58"/>
  <c r="D16" i="58" s="1"/>
  <c r="C21" i="58"/>
  <c r="H23" i="58" s="1"/>
  <c r="D24" i="58" s="1"/>
  <c r="L23" i="58"/>
  <c r="L17" i="56"/>
  <c r="O17" i="56" s="1"/>
  <c r="Q17" i="56" s="1"/>
  <c r="I18" i="41"/>
  <c r="M16" i="39"/>
  <c r="M15" i="39"/>
  <c r="M19" i="39" s="1"/>
  <c r="C16" i="38"/>
  <c r="M15" i="38"/>
  <c r="H15" i="38"/>
  <c r="P5" i="37"/>
  <c r="P6" i="37"/>
  <c r="L9" i="37"/>
  <c r="N9" i="37" s="1"/>
  <c r="N14" i="37"/>
  <c r="O13" i="37"/>
  <c r="N13" i="37"/>
  <c r="N12" i="37"/>
  <c r="N11" i="37"/>
  <c r="N10" i="37"/>
  <c r="C2" i="37"/>
  <c r="N14" i="36"/>
  <c r="O13" i="36"/>
  <c r="N13" i="36"/>
  <c r="N12" i="36"/>
  <c r="N11" i="36"/>
  <c r="N10" i="36"/>
  <c r="L9" i="36"/>
  <c r="N9" i="36" s="1"/>
  <c r="C2" i="36"/>
  <c r="N14" i="35"/>
  <c r="O13" i="35"/>
  <c r="N13" i="35"/>
  <c r="N12" i="35"/>
  <c r="N11" i="35"/>
  <c r="N10" i="35"/>
  <c r="N9" i="35"/>
  <c r="C2" i="35"/>
  <c r="O13" i="34"/>
  <c r="N9" i="34"/>
  <c r="C16" i="34" s="1"/>
  <c r="N12" i="34"/>
  <c r="N11" i="34"/>
  <c r="N10" i="34"/>
  <c r="C2" i="34"/>
  <c r="N23" i="31"/>
  <c r="N21" i="31"/>
  <c r="F22" i="31"/>
  <c r="K23" i="31" s="1"/>
  <c r="E7" i="26"/>
  <c r="I7" i="26" s="1"/>
  <c r="I8" i="25"/>
  <c r="J11" i="25" s="1"/>
  <c r="C14" i="25" s="1"/>
  <c r="E7" i="25"/>
  <c r="I7" i="25" s="1"/>
  <c r="J10" i="25" s="1"/>
  <c r="I20" i="32"/>
  <c r="J20" i="32"/>
  <c r="E20" i="32"/>
  <c r="K21" i="32" s="1"/>
  <c r="I18" i="32"/>
  <c r="A1" i="32"/>
  <c r="D21" i="31"/>
  <c r="D23" i="31"/>
  <c r="F20" i="31"/>
  <c r="K21" i="31" s="1"/>
  <c r="E15" i="31"/>
  <c r="D15" i="31"/>
  <c r="D22" i="31" s="1"/>
  <c r="K22" i="31" s="1"/>
  <c r="N22" i="31" s="1"/>
  <c r="A1" i="31"/>
  <c r="F8" i="30"/>
  <c r="B2" i="30"/>
  <c r="M12" i="29"/>
  <c r="M9" i="29"/>
  <c r="M10" i="29"/>
  <c r="M11" i="29"/>
  <c r="M8" i="29"/>
  <c r="B17" i="29" s="1"/>
  <c r="B1" i="29"/>
  <c r="B2" i="28"/>
  <c r="A1" i="27"/>
  <c r="A1" i="26"/>
  <c r="A1" i="25"/>
  <c r="H22" i="28"/>
  <c r="E9" i="27"/>
  <c r="I9" i="27" s="1"/>
  <c r="O22" i="28"/>
  <c r="G16" i="28"/>
  <c r="C19" i="28" s="1"/>
  <c r="F12" i="28"/>
  <c r="D8" i="28"/>
  <c r="F11" i="28" s="1"/>
  <c r="F9" i="28"/>
  <c r="E13" i="27"/>
  <c r="C17" i="27" s="1"/>
  <c r="C13" i="27"/>
  <c r="F17" i="27" s="1"/>
  <c r="F20" i="26"/>
  <c r="C12" i="26"/>
  <c r="F12" i="26"/>
  <c r="B25" i="25"/>
  <c r="E24" i="25"/>
  <c r="F21" i="25"/>
  <c r="L24" i="25" s="1"/>
  <c r="F11" i="25"/>
  <c r="F14" i="25" s="1"/>
  <c r="D11" i="25"/>
  <c r="D10" i="25"/>
  <c r="B25" i="26"/>
  <c r="L24" i="26"/>
  <c r="E24" i="26"/>
  <c r="F21" i="26"/>
  <c r="H25" i="26" s="1"/>
  <c r="F11" i="26"/>
  <c r="F14" i="26" s="1"/>
  <c r="B17" i="26" s="1"/>
  <c r="D11" i="26"/>
  <c r="D10" i="26"/>
  <c r="I8" i="26"/>
  <c r="J11" i="26" s="1"/>
  <c r="C14" i="26" s="1"/>
  <c r="D20" i="31" l="1"/>
  <c r="K20" i="31" s="1"/>
  <c r="N20" i="31" s="1"/>
  <c r="M17" i="35"/>
  <c r="C17" i="35"/>
  <c r="M17" i="36"/>
  <c r="H16" i="35"/>
  <c r="M16" i="35"/>
  <c r="H16" i="36"/>
  <c r="L17" i="29"/>
  <c r="C22" i="51"/>
  <c r="B25" i="51" s="1"/>
  <c r="D27" i="51" s="1"/>
  <c r="C20" i="58"/>
  <c r="B23" i="58" s="1"/>
  <c r="D25" i="58" s="1"/>
  <c r="J24" i="58" s="1"/>
  <c r="H28" i="58" s="1"/>
  <c r="H18" i="51"/>
  <c r="J18" i="51" s="1"/>
  <c r="H29" i="51" s="1"/>
  <c r="C12" i="27"/>
  <c r="F16" i="27" s="1"/>
  <c r="L19" i="27" s="1"/>
  <c r="J9" i="58"/>
  <c r="J16" i="58"/>
  <c r="H27" i="58" s="1"/>
  <c r="J11" i="51"/>
  <c r="D23" i="41"/>
  <c r="K19" i="41"/>
  <c r="L23" i="41" s="1"/>
  <c r="H7" i="30"/>
  <c r="K7" i="30" s="1"/>
  <c r="H16" i="37"/>
  <c r="M15" i="37"/>
  <c r="M16" i="36"/>
  <c r="Q9" i="34"/>
  <c r="M17" i="44"/>
  <c r="C17" i="44"/>
  <c r="M18" i="41"/>
  <c r="D16" i="28"/>
  <c r="I18" i="28" s="1"/>
  <c r="E19" i="28" s="1"/>
  <c r="F23" i="28"/>
  <c r="F8" i="28"/>
  <c r="J26" i="51"/>
  <c r="H30" i="51" s="1"/>
  <c r="B19" i="32"/>
  <c r="R18" i="32" s="1"/>
  <c r="P18" i="32"/>
  <c r="B20" i="32"/>
  <c r="K20" i="32" s="1"/>
  <c r="G11" i="32"/>
  <c r="M17" i="39"/>
  <c r="M18" i="39" s="1"/>
  <c r="K18" i="39"/>
  <c r="C17" i="37"/>
  <c r="M19" i="38"/>
  <c r="M17" i="38"/>
  <c r="M18" i="38" s="1"/>
  <c r="K18" i="38"/>
  <c r="M17" i="37"/>
  <c r="H15" i="37"/>
  <c r="M15" i="36"/>
  <c r="C17" i="36"/>
  <c r="H15" i="36"/>
  <c r="M16" i="34"/>
  <c r="H15" i="35"/>
  <c r="M15" i="35"/>
  <c r="C16" i="35" s="1"/>
  <c r="H15" i="34"/>
  <c r="M15" i="34"/>
  <c r="F10" i="25"/>
  <c r="F13" i="25" s="1"/>
  <c r="L16" i="25" s="1"/>
  <c r="C12" i="28"/>
  <c r="P20" i="31"/>
  <c r="G15" i="28"/>
  <c r="H19" i="28" s="1"/>
  <c r="C16" i="27"/>
  <c r="B19" i="27" s="1"/>
  <c r="D21" i="27" s="1"/>
  <c r="E12" i="27"/>
  <c r="C13" i="26"/>
  <c r="B16" i="26" s="1"/>
  <c r="D18" i="26" s="1"/>
  <c r="J10" i="26"/>
  <c r="F10" i="26"/>
  <c r="F13" i="26" s="1"/>
  <c r="H17" i="26" s="1"/>
  <c r="L16" i="29"/>
  <c r="L18" i="29" s="1"/>
  <c r="L19" i="29" s="1"/>
  <c r="G16" i="29"/>
  <c r="H17" i="25"/>
  <c r="C13" i="25"/>
  <c r="B16" i="25" s="1"/>
  <c r="D18" i="25" s="1"/>
  <c r="P22" i="31"/>
  <c r="F18" i="28"/>
  <c r="B24" i="27"/>
  <c r="E19" i="27"/>
  <c r="B20" i="27"/>
  <c r="H19" i="27"/>
  <c r="D20" i="27" s="1"/>
  <c r="E16" i="25"/>
  <c r="B17" i="25"/>
  <c r="C22" i="25"/>
  <c r="H24" i="25" s="1"/>
  <c r="D25" i="25" s="1"/>
  <c r="H16" i="25"/>
  <c r="D17" i="25" s="1"/>
  <c r="H25" i="25"/>
  <c r="H16" i="26"/>
  <c r="D17" i="26" s="1"/>
  <c r="C22" i="26"/>
  <c r="H24" i="26" s="1"/>
  <c r="D25" i="26" s="1"/>
  <c r="E16" i="26"/>
  <c r="H9" i="14"/>
  <c r="G8" i="14"/>
  <c r="G3" i="14"/>
  <c r="H4" i="14"/>
  <c r="G5" i="18"/>
  <c r="G4" i="18"/>
  <c r="G3" i="18"/>
  <c r="G10" i="17"/>
  <c r="G4" i="17"/>
  <c r="G10" i="16"/>
  <c r="G4" i="16"/>
  <c r="B2" i="5"/>
  <c r="A2" i="5"/>
  <c r="C21" i="11"/>
  <c r="E22" i="11"/>
  <c r="I15" i="11"/>
  <c r="E16" i="11"/>
  <c r="K16" i="11"/>
  <c r="K12" i="11"/>
  <c r="I16" i="11" s="1"/>
  <c r="H12" i="11"/>
  <c r="C16" i="11"/>
  <c r="C15" i="11"/>
  <c r="C18" i="11" l="1"/>
  <c r="L16" i="26"/>
  <c r="C20" i="39"/>
  <c r="O20" i="39"/>
  <c r="L20" i="44"/>
  <c r="C18" i="44"/>
  <c r="H29" i="58"/>
  <c r="G20" i="27"/>
  <c r="J20" i="27" s="1"/>
  <c r="K23" i="27" s="1"/>
  <c r="H31" i="51"/>
  <c r="O22" i="41"/>
  <c r="D15" i="28"/>
  <c r="C18" i="28" s="1"/>
  <c r="E20" i="28" s="1"/>
  <c r="K19" i="28" s="1"/>
  <c r="L22" i="28" s="1"/>
  <c r="O20" i="38"/>
  <c r="C20" i="38"/>
  <c r="L16" i="37"/>
  <c r="C16" i="37"/>
  <c r="C11" i="28"/>
  <c r="K18" i="32"/>
  <c r="M19" i="37"/>
  <c r="M20" i="37" s="1"/>
  <c r="M18" i="37"/>
  <c r="C16" i="36"/>
  <c r="M18" i="36"/>
  <c r="M17" i="34"/>
  <c r="M18" i="34" s="1"/>
  <c r="M18" i="35"/>
  <c r="M19" i="35" s="1"/>
  <c r="M20" i="35" s="1"/>
  <c r="N13" i="34"/>
  <c r="M18" i="28"/>
  <c r="C21" i="26"/>
  <c r="B24" i="26" s="1"/>
  <c r="D26" i="26" s="1"/>
  <c r="J25" i="26" s="1"/>
  <c r="H29" i="26" s="1"/>
  <c r="J17" i="25"/>
  <c r="H28" i="25" s="1"/>
  <c r="C21" i="25"/>
  <c r="B24" i="25" s="1"/>
  <c r="D26" i="25" s="1"/>
  <c r="J25" i="25" s="1"/>
  <c r="H29" i="25" s="1"/>
  <c r="F24" i="27"/>
  <c r="J17" i="26"/>
  <c r="H28" i="26" s="1"/>
  <c r="B3" i="5"/>
  <c r="C3" i="5" s="1"/>
  <c r="B6" i="5"/>
  <c r="B5" i="5"/>
  <c r="C5" i="5" s="1"/>
  <c r="B8" i="5"/>
  <c r="C8" i="5" s="1"/>
  <c r="B4" i="5"/>
  <c r="B7" i="5" s="1"/>
  <c r="C7" i="5" s="1"/>
  <c r="B24" i="11"/>
  <c r="I18" i="11"/>
  <c r="C2" i="5"/>
  <c r="C22" i="11"/>
  <c r="J80" i="13"/>
  <c r="H30" i="26" l="1"/>
  <c r="M19" i="36"/>
  <c r="M20" i="36" s="1"/>
  <c r="Q18" i="36"/>
  <c r="H23" i="28"/>
  <c r="M23" i="28"/>
  <c r="P23" i="28" s="1"/>
  <c r="H30" i="25"/>
  <c r="D24" i="27"/>
  <c r="H24" i="27" s="1"/>
  <c r="L24" i="27"/>
  <c r="C4" i="5"/>
  <c r="B7" i="14" s="1"/>
  <c r="C6" i="5"/>
  <c r="C9" i="5"/>
  <c r="B2" i="17" s="1"/>
  <c r="L11" i="13"/>
  <c r="E109" i="13"/>
  <c r="E108" i="13"/>
  <c r="E107" i="13"/>
  <c r="G101" i="13"/>
  <c r="G107" i="13" s="1"/>
  <c r="G108" i="13" s="1"/>
  <c r="G109" i="13" s="1"/>
  <c r="E101" i="13"/>
  <c r="E105" i="13" s="1"/>
  <c r="I98" i="13"/>
  <c r="G98" i="13"/>
  <c r="E98" i="13"/>
  <c r="I95" i="13"/>
  <c r="G95" i="13"/>
  <c r="E95" i="13"/>
  <c r="K91" i="13"/>
  <c r="K90" i="13"/>
  <c r="K89" i="13"/>
  <c r="F75" i="13"/>
  <c r="G72" i="13"/>
  <c r="G69" i="13"/>
  <c r="E67" i="13"/>
  <c r="K66" i="13"/>
  <c r="E64" i="13"/>
  <c r="J63" i="13"/>
  <c r="K60" i="13"/>
  <c r="K59" i="13"/>
  <c r="H45" i="13"/>
  <c r="K52" i="13" s="1"/>
  <c r="K43" i="13"/>
  <c r="G43" i="13"/>
  <c r="E44" i="13"/>
  <c r="B44" i="13"/>
  <c r="E43" i="13"/>
  <c r="M41" i="13"/>
  <c r="J41" i="13"/>
  <c r="H41" i="13"/>
  <c r="E41" i="13"/>
  <c r="N40" i="13"/>
  <c r="I40" i="13"/>
  <c r="K37" i="13"/>
  <c r="K36" i="13"/>
  <c r="K35" i="13"/>
  <c r="K34" i="13"/>
  <c r="M26" i="13"/>
  <c r="K21" i="13"/>
  <c r="L4" i="13" s="1"/>
  <c r="J21" i="13"/>
  <c r="G21" i="13"/>
  <c r="E21" i="13"/>
  <c r="M19" i="13"/>
  <c r="K19" i="13"/>
  <c r="G19" i="13"/>
  <c r="E19" i="13"/>
  <c r="N18" i="13"/>
  <c r="H18" i="13"/>
  <c r="K15" i="13"/>
  <c r="K14" i="13"/>
  <c r="K13" i="13"/>
  <c r="M70" i="9"/>
  <c r="H72" i="9" s="1"/>
  <c r="M68" i="9"/>
  <c r="F72" i="9" s="1"/>
  <c r="M72" i="9" s="1"/>
  <c r="M76" i="9" s="1"/>
  <c r="L51" i="9"/>
  <c r="F49" i="9"/>
  <c r="M47" i="9"/>
  <c r="M43" i="9"/>
  <c r="E49" i="9" s="1"/>
  <c r="L49" i="9" s="1"/>
  <c r="M13" i="9"/>
  <c r="M19" i="9"/>
  <c r="E25" i="9" s="1"/>
  <c r="M23" i="9"/>
  <c r="G25" i="9" s="1"/>
  <c r="J38" i="9"/>
  <c r="M21" i="9"/>
  <c r="D26" i="9" s="1"/>
  <c r="J26" i="9" s="1"/>
  <c r="F28" i="9" s="1"/>
  <c r="J30" i="9" s="1"/>
  <c r="J32" i="9" s="1"/>
  <c r="M11" i="9"/>
  <c r="M66" i="9" s="1"/>
  <c r="D73" i="9" s="1"/>
  <c r="K73" i="9" s="1"/>
  <c r="I76" i="9" s="1"/>
  <c r="M78" i="9" s="1"/>
  <c r="L80" i="9" s="1"/>
  <c r="J10" i="9"/>
  <c r="H10" i="9"/>
  <c r="F10" i="9"/>
  <c r="A9" i="12"/>
  <c r="A8" i="12"/>
  <c r="K4" i="12"/>
  <c r="K3" i="12"/>
  <c r="F5" i="8"/>
  <c r="D5" i="8" s="1"/>
  <c r="D9" i="8" s="1"/>
  <c r="C12" i="8" s="1"/>
  <c r="D12" i="10"/>
  <c r="D9" i="10"/>
  <c r="C12" i="10" s="1"/>
  <c r="D6" i="10"/>
  <c r="F5" i="10"/>
  <c r="H5" i="10" s="1"/>
  <c r="H12" i="8"/>
  <c r="D12" i="8"/>
  <c r="F9" i="8"/>
  <c r="D6" i="8"/>
  <c r="D6" i="6"/>
  <c r="F5" i="6"/>
  <c r="F5" i="7"/>
  <c r="D6" i="7"/>
  <c r="C18" i="10" l="1"/>
  <c r="B2" i="18"/>
  <c r="M45" i="9"/>
  <c r="D50" i="9" s="1"/>
  <c r="K50" i="9" s="1"/>
  <c r="B2" i="14"/>
  <c r="C10" i="5"/>
  <c r="B8" i="16"/>
  <c r="B8" i="17"/>
  <c r="B2" i="16"/>
  <c r="C18" i="8"/>
  <c r="G64" i="13"/>
  <c r="E74" i="13"/>
  <c r="G67" i="13"/>
  <c r="K58" i="13"/>
  <c r="E70" i="13"/>
  <c r="G110" i="13"/>
  <c r="G105" i="13"/>
  <c r="L72" i="9"/>
  <c r="K78" i="9" s="1"/>
  <c r="L82" i="9" s="1"/>
  <c r="L84" i="9" s="1"/>
  <c r="K53" i="9"/>
  <c r="G55" i="9" s="1"/>
  <c r="J59" i="9" s="1"/>
  <c r="L25" i="9"/>
  <c r="K28" i="9" s="1"/>
  <c r="F30" i="9" s="1"/>
  <c r="J34" i="9" s="1"/>
  <c r="I36" i="9" s="1"/>
  <c r="I38" i="9" s="1"/>
  <c r="E10" i="12"/>
  <c r="D10" i="12"/>
  <c r="F10" i="12"/>
  <c r="E11" i="12"/>
  <c r="B10" i="12"/>
  <c r="H10" i="12"/>
  <c r="H12" i="10"/>
  <c r="F9" i="10"/>
  <c r="C14" i="10"/>
  <c r="C15" i="10"/>
  <c r="F12" i="10"/>
  <c r="C16" i="10"/>
  <c r="D10" i="10"/>
  <c r="C14" i="8"/>
  <c r="C15" i="8"/>
  <c r="F12" i="8"/>
  <c r="C16" i="8"/>
  <c r="D10" i="8"/>
  <c r="D5" i="6"/>
  <c r="C18" i="6" s="1"/>
  <c r="F12" i="6"/>
  <c r="D12" i="6"/>
  <c r="D10" i="6"/>
  <c r="F12" i="7"/>
  <c r="D12" i="7"/>
  <c r="H5" i="7"/>
  <c r="D10" i="7"/>
  <c r="D9" i="7"/>
  <c r="C12" i="7" s="1"/>
  <c r="G15" i="2"/>
  <c r="G16" i="2"/>
  <c r="G17" i="2"/>
  <c r="F9" i="2"/>
  <c r="F8" i="2"/>
  <c r="F7" i="2"/>
  <c r="C18" i="7" l="1"/>
  <c r="C16" i="7"/>
  <c r="I53" i="9"/>
  <c r="K55" i="9" s="1"/>
  <c r="J57" i="9" s="1"/>
  <c r="K61" i="9" s="1"/>
  <c r="F53" i="9"/>
  <c r="C16" i="6"/>
  <c r="D9" i="6"/>
  <c r="C12" i="6" s="1"/>
  <c r="E75" i="13"/>
  <c r="K76" i="13" s="1"/>
  <c r="K49" i="13" s="1"/>
  <c r="E76" i="13"/>
  <c r="C11" i="12"/>
  <c r="D11" i="12" s="1"/>
  <c r="F12" i="12" s="1"/>
  <c r="F11" i="12"/>
  <c r="G11" i="12" s="1"/>
  <c r="A6" i="5"/>
  <c r="F6" i="2"/>
  <c r="H12" i="7"/>
  <c r="C15" i="7"/>
  <c r="F9" i="7"/>
  <c r="C14" i="7"/>
  <c r="C14" i="6"/>
  <c r="C15" i="6"/>
  <c r="F9" i="6"/>
  <c r="H12" i="6"/>
  <c r="A3" i="5"/>
  <c r="C6" i="2"/>
  <c r="A5" i="5"/>
  <c r="A4" i="5"/>
  <c r="C14" i="2" l="1"/>
  <c r="G14" i="2"/>
  <c r="E12" i="12"/>
  <c r="C12" i="12"/>
  <c r="F16" i="12" s="1"/>
  <c r="D12" i="12"/>
  <c r="F14" i="12"/>
  <c r="E13" i="12"/>
  <c r="C7" i="2"/>
  <c r="A7" i="5"/>
  <c r="C15" i="2" s="1"/>
  <c r="A8" i="5"/>
  <c r="C16" i="2" s="1"/>
  <c r="C8" i="2"/>
  <c r="A9" i="5"/>
  <c r="C17" i="2" s="1"/>
  <c r="C9" i="2"/>
  <c r="F18" i="12" l="1"/>
  <c r="G13" i="12"/>
  <c r="G14" i="12" s="1"/>
  <c r="G15" i="12" s="1"/>
  <c r="D14" i="12"/>
  <c r="D15" i="12" s="1"/>
  <c r="D18" i="12" s="1"/>
  <c r="E18" i="12" s="1"/>
  <c r="G18" i="12" l="1"/>
</calcChain>
</file>

<file path=xl/sharedStrings.xml><?xml version="1.0" encoding="utf-8"?>
<sst xmlns="http://schemas.openxmlformats.org/spreadsheetml/2006/main" count="1597" uniqueCount="466">
  <si>
    <t xml:space="preserve"> </t>
  </si>
  <si>
    <t xml:space="preserve">Explicação: As taxas que são apresentadas em porcentagem, ou na forma porcentual  são seguidas do símbolo %.  Exemplo a taxa de juros é 8%. Ou seja, R$ 8,00 para cada R$100,00. </t>
  </si>
  <si>
    <t>Taxa porcentual/percentual</t>
  </si>
  <si>
    <t>=</t>
  </si>
  <si>
    <t xml:space="preserve"> Taxa unitária</t>
  </si>
  <si>
    <t xml:space="preserve">Estas taxas muitas vezes são expressas na forma taxa unitária, ou transformadas em taxa unitária.  8% na forma de taxa unitária é 8/100= 0,08. ou seja R$ 0,08 para da R$ 1,00. </t>
  </si>
  <si>
    <t xml:space="preserve"> 1) Transforme  as taxas porcentuais para taxa unitária. Escreva as respostas nas células amarelas</t>
  </si>
  <si>
    <t>a)</t>
  </si>
  <si>
    <t xml:space="preserve">    Taxa porcentual/percentual</t>
  </si>
  <si>
    <t>b)</t>
  </si>
  <si>
    <t>c)</t>
  </si>
  <si>
    <t xml:space="preserve">As taxas unitárias podem ser  transformadas em taxa porcentual.  Para isto basta multiplicar a taxa unitária poe 100 e escrever o símbolo% após a númeto resultante.   </t>
  </si>
  <si>
    <t>d)</t>
  </si>
  <si>
    <t>%</t>
  </si>
  <si>
    <t xml:space="preserve"> 2) Transforme  as taxas unitária para taxas porcentuais.  Escreva as respostas nas células amarelas. O símbolo já está no local.</t>
  </si>
  <si>
    <t xml:space="preserve">Registre o  cálculo </t>
  </si>
  <si>
    <t>3)</t>
  </si>
  <si>
    <t xml:space="preserve">Custo </t>
  </si>
  <si>
    <t>Venda</t>
  </si>
  <si>
    <t>+</t>
  </si>
  <si>
    <t>R$</t>
  </si>
  <si>
    <t xml:space="preserve">Lucro  </t>
  </si>
  <si>
    <t>x</t>
  </si>
  <si>
    <t>´</t>
  </si>
  <si>
    <t xml:space="preserve">Exemplo: Certa mercadoria foi comprada por R$   </t>
  </si>
  <si>
    <t xml:space="preserve">% sobre o custo. Qual é o preço de venda? </t>
  </si>
  <si>
    <t xml:space="preserve">,00 por um empresário  e </t>
  </si>
  <si>
    <t xml:space="preserve">vendida com um lucro de </t>
  </si>
  <si>
    <r>
      <t>% sobre a</t>
    </r>
    <r>
      <rPr>
        <b/>
        <sz val="12"/>
        <color rgb="FFC00000"/>
        <rFont val="Arial"/>
        <family val="2"/>
      </rPr>
      <t xml:space="preserve"> venda</t>
    </r>
    <r>
      <rPr>
        <sz val="12"/>
        <color rgb="FF0070C0"/>
        <rFont val="Arial"/>
        <family val="2"/>
      </rPr>
      <t xml:space="preserve">. Qual é o preço de venda? </t>
    </r>
  </si>
  <si>
    <t>Não mexer aqui</t>
  </si>
  <si>
    <t>Prejuízo</t>
  </si>
  <si>
    <t>vendida com um lucro de</t>
  </si>
  <si>
    <t>-</t>
  </si>
  <si>
    <t xml:space="preserve">prejuízo  </t>
  </si>
  <si>
    <r>
      <t xml:space="preserve">vendida com um </t>
    </r>
    <r>
      <rPr>
        <b/>
        <sz val="12"/>
        <color theme="9" tint="-0.499984740745262"/>
        <rFont val="Arial"/>
        <family val="2"/>
      </rPr>
      <t>prejuízo</t>
    </r>
    <r>
      <rPr>
        <sz val="12"/>
        <color rgb="FF0070C0"/>
        <rFont val="Arial"/>
        <family val="2"/>
      </rPr>
      <t xml:space="preserve"> de</t>
    </r>
  </si>
  <si>
    <r>
      <t xml:space="preserve">vendida com um </t>
    </r>
    <r>
      <rPr>
        <sz val="12"/>
        <color theme="9" tint="-0.499984740745262"/>
        <rFont val="Arial"/>
        <family val="2"/>
      </rPr>
      <t xml:space="preserve">prejuízo </t>
    </r>
    <r>
      <rPr>
        <sz val="12"/>
        <color rgb="FF0070C0"/>
        <rFont val="Arial"/>
        <family val="2"/>
      </rPr>
      <t xml:space="preserve">de </t>
    </r>
  </si>
  <si>
    <t>Cálculo do valor do termo desconhecido  em uma proporção</t>
  </si>
  <si>
    <t>Coloque os termos da proporção nos locais indicados</t>
  </si>
  <si>
    <t xml:space="preserve"> =&gt;</t>
  </si>
  <si>
    <t>&lt;</t>
  </si>
  <si>
    <t>-----------</t>
  </si>
  <si>
    <t>=&gt;</t>
  </si>
  <si>
    <t>.</t>
  </si>
  <si>
    <t>Parte</t>
  </si>
  <si>
    <t>Total</t>
  </si>
  <si>
    <t>Cálculo de Juros Simples</t>
  </si>
  <si>
    <t>Coloque o capital inicial =&gt;</t>
  </si>
  <si>
    <t>Coloque a taxa  mensal =&gt;</t>
  </si>
  <si>
    <t>% ao mês</t>
  </si>
  <si>
    <t>Coloque o número de meses =&gt;</t>
  </si>
  <si>
    <t>meses</t>
  </si>
  <si>
    <t xml:space="preserve">Veja os cáculos para encontrar o valor dos juros </t>
  </si>
  <si>
    <t xml:space="preserve">  j  =</t>
  </si>
  <si>
    <t xml:space="preserve">    ----------------------        =</t>
  </si>
  <si>
    <t>100</t>
  </si>
  <si>
    <t xml:space="preserve">O valor dos juros   é </t>
  </si>
  <si>
    <t>Cálculo da Taxa Mensal</t>
  </si>
  <si>
    <t>Coloque o valor dos juros =&gt;</t>
  </si>
  <si>
    <t xml:space="preserve"> meses</t>
  </si>
  <si>
    <t xml:space="preserve"> Veja os cálculos para encontrar a taxa mensal dos juros </t>
  </si>
  <si>
    <t>=  ----------------------</t>
  </si>
  <si>
    <t>i=</t>
  </si>
  <si>
    <t>i</t>
  </si>
  <si>
    <t>=  -------------------</t>
  </si>
  <si>
    <r>
      <t xml:space="preserve">  </t>
    </r>
    <r>
      <rPr>
        <b/>
        <sz val="14"/>
        <color rgb="FF92D050"/>
        <rFont val="Arial"/>
        <family val="2"/>
      </rPr>
      <t>c</t>
    </r>
    <r>
      <rPr>
        <b/>
        <sz val="14"/>
        <color rgb="FFFFFF00"/>
        <rFont val="Arial"/>
        <family val="2"/>
      </rPr>
      <t>.</t>
    </r>
    <r>
      <rPr>
        <b/>
        <sz val="14"/>
        <color rgb="FF66CCFF"/>
        <rFont val="Arial"/>
        <family val="2"/>
      </rPr>
      <t>i</t>
    </r>
    <r>
      <rPr>
        <b/>
        <sz val="14"/>
        <color rgb="FFFFFF00"/>
        <rFont val="Arial"/>
        <family val="2"/>
      </rPr>
      <t>.</t>
    </r>
    <r>
      <rPr>
        <b/>
        <sz val="14"/>
        <color theme="5" tint="0.59999389629810485"/>
        <rFont val="Arial"/>
        <family val="2"/>
      </rPr>
      <t>t</t>
    </r>
  </si>
  <si>
    <r>
      <rPr>
        <b/>
        <sz val="12"/>
        <color theme="0"/>
        <rFont val="Arial"/>
        <family val="2"/>
      </rPr>
      <t xml:space="preserve">. </t>
    </r>
    <r>
      <rPr>
        <b/>
        <sz val="12"/>
        <color rgb="FF66CCFF"/>
        <rFont val="Arial"/>
        <family val="2"/>
      </rPr>
      <t xml:space="preserve"> i</t>
    </r>
    <r>
      <rPr>
        <b/>
        <sz val="12"/>
        <color theme="0"/>
        <rFont val="Arial"/>
        <family val="2"/>
      </rPr>
      <t xml:space="preserve"> .</t>
    </r>
  </si>
  <si>
    <r>
      <t xml:space="preserve"> </t>
    </r>
    <r>
      <rPr>
        <b/>
        <sz val="14"/>
        <color rgb="FF00FF00"/>
        <rFont val="Arial"/>
        <family val="2"/>
      </rPr>
      <t>c</t>
    </r>
    <r>
      <rPr>
        <b/>
        <sz val="14"/>
        <color theme="0"/>
        <rFont val="Arial"/>
        <family val="2"/>
      </rPr>
      <t>.</t>
    </r>
    <r>
      <rPr>
        <b/>
        <sz val="14"/>
        <color rgb="FF66CCFF"/>
        <rFont val="Arial"/>
        <family val="2"/>
      </rPr>
      <t>i</t>
    </r>
    <r>
      <rPr>
        <b/>
        <sz val="14"/>
        <color theme="0"/>
        <rFont val="Arial"/>
        <family val="2"/>
      </rPr>
      <t>.</t>
    </r>
    <r>
      <rPr>
        <b/>
        <sz val="14"/>
        <color theme="5" tint="0.59999389629810485"/>
        <rFont val="Arial"/>
        <family val="2"/>
      </rPr>
      <t>t</t>
    </r>
  </si>
  <si>
    <r>
      <rPr>
        <b/>
        <sz val="14"/>
        <color theme="0"/>
        <rFont val="Arial"/>
        <family val="2"/>
      </rPr>
      <t>.</t>
    </r>
    <r>
      <rPr>
        <b/>
        <sz val="14"/>
        <color rgb="FF66CCFF"/>
        <rFont val="Arial"/>
        <family val="2"/>
      </rPr>
      <t xml:space="preserve"> i</t>
    </r>
  </si>
  <si>
    <t>Dividindo</t>
  </si>
  <si>
    <r>
      <rPr>
        <b/>
        <sz val="12"/>
        <color rgb="FF66CCFF"/>
        <rFont val="Arial"/>
        <family val="2"/>
      </rPr>
      <t xml:space="preserve">i </t>
    </r>
    <r>
      <rPr>
        <b/>
        <sz val="12"/>
        <color theme="0"/>
        <rFont val="Arial"/>
        <family val="2"/>
      </rPr>
      <t xml:space="preserve">  =</t>
    </r>
  </si>
  <si>
    <r>
      <rPr>
        <b/>
        <sz val="12"/>
        <color rgb="FF66CCFF"/>
        <rFont val="Arial"/>
        <family val="2"/>
      </rPr>
      <t>i</t>
    </r>
    <r>
      <rPr>
        <b/>
        <sz val="12"/>
        <color theme="6" tint="0.79998168889431442"/>
        <rFont val="Arial"/>
        <family val="2"/>
      </rPr>
      <t xml:space="preserve"> =    -------------</t>
    </r>
  </si>
  <si>
    <r>
      <rPr>
        <b/>
        <sz val="12"/>
        <color rgb="FF66CCFF"/>
        <rFont val="Arial"/>
        <family val="2"/>
      </rPr>
      <t xml:space="preserve">i   </t>
    </r>
    <r>
      <rPr>
        <b/>
        <sz val="12"/>
        <color theme="0"/>
        <rFont val="Arial"/>
        <family val="2"/>
      </rPr>
      <t>=</t>
    </r>
  </si>
  <si>
    <t xml:space="preserve">         A taxa  é  </t>
  </si>
  <si>
    <t>Cálculo do Número de Meses</t>
  </si>
  <si>
    <t>Coloque o valor do capital  inicial=&gt;</t>
  </si>
  <si>
    <t>Coloque o valor dos juros=&gt;</t>
  </si>
  <si>
    <t xml:space="preserve"> Veja os cálculos para encontrar o número de meses</t>
  </si>
  <si>
    <t>.  t</t>
  </si>
  <si>
    <t>.t</t>
  </si>
  <si>
    <t>=  ---------------------------</t>
  </si>
  <si>
    <t xml:space="preserve"> =   ---------------</t>
  </si>
  <si>
    <t xml:space="preserve">100   </t>
  </si>
  <si>
    <t>t</t>
  </si>
  <si>
    <r>
      <t xml:space="preserve">t  </t>
    </r>
    <r>
      <rPr>
        <b/>
        <sz val="12"/>
        <color theme="0"/>
        <rFont val="Arial"/>
        <family val="2"/>
      </rPr>
      <t>=</t>
    </r>
  </si>
  <si>
    <r>
      <rPr>
        <b/>
        <sz val="12"/>
        <color theme="5" tint="0.59999389629810485"/>
        <rFont val="Arial"/>
        <family val="2"/>
      </rPr>
      <t>t</t>
    </r>
    <r>
      <rPr>
        <b/>
        <sz val="12"/>
        <color rgb="FFFFFF00"/>
        <rFont val="Arial"/>
        <family val="2"/>
      </rPr>
      <t xml:space="preserve">  </t>
    </r>
    <r>
      <rPr>
        <b/>
        <sz val="12"/>
        <color theme="0"/>
        <rFont val="Arial"/>
        <family val="2"/>
      </rPr>
      <t>=</t>
    </r>
    <r>
      <rPr>
        <b/>
        <sz val="12"/>
        <color rgb="FFFFFF00"/>
        <rFont val="Arial"/>
        <family val="2"/>
      </rPr>
      <t xml:space="preserve">   </t>
    </r>
    <r>
      <rPr>
        <b/>
        <sz val="12"/>
        <color theme="0"/>
        <rFont val="Arial"/>
        <family val="2"/>
      </rPr>
      <t>---------------</t>
    </r>
  </si>
  <si>
    <r>
      <rPr>
        <b/>
        <sz val="12"/>
        <color theme="5" tint="0.59999389629810485"/>
        <rFont val="Arial"/>
        <family val="2"/>
      </rPr>
      <t xml:space="preserve">t </t>
    </r>
    <r>
      <rPr>
        <b/>
        <sz val="12"/>
        <color rgb="FFFFFF00"/>
        <rFont val="Arial"/>
        <family val="2"/>
      </rPr>
      <t xml:space="preserve">   </t>
    </r>
    <r>
      <rPr>
        <b/>
        <sz val="12"/>
        <color theme="0"/>
        <rFont val="Arial"/>
        <family val="2"/>
      </rPr>
      <t>=</t>
    </r>
  </si>
  <si>
    <t>Cálculo do Capital Inicial</t>
  </si>
  <si>
    <t>Coloque a taxa mensal =&gt;</t>
  </si>
  <si>
    <t xml:space="preserve"> Veja os cálculos para encontrar o capital inicial</t>
  </si>
  <si>
    <t>.c</t>
  </si>
  <si>
    <t xml:space="preserve">       =  ------------</t>
  </si>
  <si>
    <r>
      <t xml:space="preserve">j </t>
    </r>
    <r>
      <rPr>
        <b/>
        <sz val="14"/>
        <color theme="0"/>
        <rFont val="Arial"/>
        <family val="2"/>
      </rPr>
      <t>= ------</t>
    </r>
  </si>
  <si>
    <r>
      <t xml:space="preserve"> j</t>
    </r>
    <r>
      <rPr>
        <b/>
        <sz val="14"/>
        <color theme="0"/>
        <rFont val="Arial"/>
        <family val="2"/>
      </rPr>
      <t xml:space="preserve"> = ------</t>
    </r>
  </si>
  <si>
    <r>
      <rPr>
        <b/>
        <sz val="12"/>
        <color theme="0" tint="-4.9989318521683403E-2"/>
        <rFont val="Arial"/>
        <family val="2"/>
      </rPr>
      <t>.</t>
    </r>
    <r>
      <rPr>
        <b/>
        <sz val="12"/>
        <color rgb="FF00FF00"/>
        <rFont val="Arial"/>
        <family val="2"/>
      </rPr>
      <t xml:space="preserve"> C</t>
    </r>
  </si>
  <si>
    <r>
      <t>c</t>
    </r>
    <r>
      <rPr>
        <b/>
        <sz val="14"/>
        <color theme="0"/>
        <rFont val="Arial"/>
        <family val="2"/>
      </rPr>
      <t xml:space="preserve"> .</t>
    </r>
  </si>
  <si>
    <r>
      <t xml:space="preserve">j </t>
    </r>
    <r>
      <rPr>
        <b/>
        <sz val="12"/>
        <color theme="0"/>
        <rFont val="Arial"/>
        <family val="2"/>
      </rPr>
      <t>= ------</t>
    </r>
  </si>
  <si>
    <r>
      <rPr>
        <b/>
        <sz val="14"/>
        <color rgb="FF00FF00"/>
        <rFont val="Arial"/>
        <family val="2"/>
      </rPr>
      <t xml:space="preserve">c 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theme="0"/>
        <rFont val="Arial"/>
        <family val="2"/>
      </rPr>
      <t>=</t>
    </r>
  </si>
  <si>
    <t xml:space="preserve">c    </t>
  </si>
  <si>
    <t>=   ---------------------</t>
  </si>
  <si>
    <r>
      <t xml:space="preserve">c </t>
    </r>
    <r>
      <rPr>
        <b/>
        <sz val="14"/>
        <color theme="0"/>
        <rFont val="Arial"/>
        <family val="2"/>
      </rPr>
      <t>=</t>
    </r>
  </si>
  <si>
    <t>1)</t>
  </si>
  <si>
    <t>2)</t>
  </si>
  <si>
    <t>/</t>
  </si>
  <si>
    <t>n</t>
  </si>
  <si>
    <t>n=</t>
  </si>
  <si>
    <t>)</t>
  </si>
  <si>
    <t>4)</t>
  </si>
  <si>
    <t xml:space="preserve">    Juros Compostos considerando uma única aplicação com capitalização mensal</t>
  </si>
  <si>
    <t xml:space="preserve"> Obs.: Complete somente as células de fundo BRANCO.  Observe os cálculos e o resultado </t>
  </si>
  <si>
    <t xml:space="preserve">                           Cálculo do Montante</t>
  </si>
  <si>
    <t>Resultado M=</t>
  </si>
  <si>
    <t xml:space="preserve"> Entre com o valor do Capital inicial  C =&gt;</t>
  </si>
  <si>
    <t xml:space="preserve"> Entre a taxa porcentual  mensal  i %=&gt;</t>
  </si>
  <si>
    <t>%  ao mês</t>
  </si>
  <si>
    <t xml:space="preserve"> Entre com o número de meses   n  =&gt;</t>
  </si>
  <si>
    <t xml:space="preserve">Fórmula:  </t>
  </si>
  <si>
    <t xml:space="preserve">n        </t>
  </si>
  <si>
    <t xml:space="preserve">   Preparação dos dados</t>
  </si>
  <si>
    <t xml:space="preserve">  M=C(1+i) , onde</t>
  </si>
  <si>
    <t xml:space="preserve">Taxa unitária  i   = </t>
  </si>
  <si>
    <t>/ 100</t>
  </si>
  <si>
    <t>M e Montante</t>
  </si>
  <si>
    <t>i  =</t>
  </si>
  <si>
    <t>C é Capital inicial</t>
  </si>
  <si>
    <t>C=</t>
  </si>
  <si>
    <t>i é taxa unitátia</t>
  </si>
  <si>
    <t>n é o número de meses</t>
  </si>
  <si>
    <t>Cálculos para obtenção do Montante</t>
  </si>
  <si>
    <t>M=</t>
  </si>
  <si>
    <t>x (1 +</t>
  </si>
  <si>
    <t xml:space="preserve">   ) =</t>
  </si>
  <si>
    <t>x(</t>
  </si>
  <si>
    <t>)=</t>
  </si>
  <si>
    <t xml:space="preserve">                           Cálculo do  Capital inicial</t>
  </si>
  <si>
    <r>
      <t xml:space="preserve">Resultado </t>
    </r>
    <r>
      <rPr>
        <sz val="12"/>
        <color indexed="10"/>
        <rFont val="Times New Roman"/>
        <family val="1"/>
      </rPr>
      <t>C</t>
    </r>
    <r>
      <rPr>
        <sz val="12"/>
        <color indexed="23"/>
        <rFont val="Times New Roman"/>
        <family val="1"/>
      </rPr>
      <t>=</t>
    </r>
  </si>
  <si>
    <t xml:space="preserve"> Entre com o valor do Montante  M =&gt;</t>
  </si>
  <si>
    <t xml:space="preserve"> Entre a taxa porcentual  mensal  I %=&gt;</t>
  </si>
  <si>
    <t>Cálculos para obtenção do Capital Inicial</t>
  </si>
  <si>
    <t xml:space="preserve">   3)</t>
  </si>
  <si>
    <t xml:space="preserve">   M=C(1+i) </t>
  </si>
  <si>
    <t>= C</t>
  </si>
  <si>
    <t xml:space="preserve"> x  (  1  +</t>
  </si>
  <si>
    <t>=C</t>
  </si>
  <si>
    <t>x (</t>
  </si>
  <si>
    <t>5)</t>
  </si>
  <si>
    <t>6)</t>
  </si>
  <si>
    <r>
      <t xml:space="preserve">= </t>
    </r>
    <r>
      <rPr>
        <b/>
        <sz val="14"/>
        <color indexed="10"/>
        <rFont val="Times New Roman"/>
        <family val="1"/>
      </rPr>
      <t>C</t>
    </r>
  </si>
  <si>
    <t>C</t>
  </si>
  <si>
    <r>
      <t xml:space="preserve">C </t>
    </r>
    <r>
      <rPr>
        <b/>
        <sz val="12"/>
        <color indexed="16"/>
        <rFont val="Times New Roman"/>
        <family val="1"/>
      </rPr>
      <t>=</t>
    </r>
  </si>
  <si>
    <t xml:space="preserve"> Entre com o  Capital inicial  =&gt;</t>
  </si>
  <si>
    <t xml:space="preserve">Cálculos para obtenção da taxa mensal </t>
  </si>
  <si>
    <r>
      <t xml:space="preserve">x </t>
    </r>
    <r>
      <rPr>
        <b/>
        <sz val="12"/>
        <color indexed="8"/>
        <rFont val="Times New Roman"/>
        <family val="1"/>
      </rPr>
      <t>(  1   +</t>
    </r>
  </si>
  <si>
    <t>=   (</t>
  </si>
  <si>
    <t xml:space="preserve">    i  )</t>
  </si>
  <si>
    <r>
      <t xml:space="preserve">(  1  +  </t>
    </r>
    <r>
      <rPr>
        <b/>
        <sz val="14"/>
        <color indexed="57"/>
        <rFont val="Times New Roman"/>
        <family val="1"/>
      </rPr>
      <t>i</t>
    </r>
    <r>
      <rPr>
        <b/>
        <sz val="14"/>
        <rFont val="Times New Roman"/>
        <family val="1"/>
      </rPr>
      <t xml:space="preserve">  )</t>
    </r>
  </si>
  <si>
    <r>
      <t xml:space="preserve">5) </t>
    </r>
    <r>
      <rPr>
        <b/>
        <sz val="12"/>
        <rFont val="Times New Roman"/>
        <family val="1"/>
      </rPr>
      <t xml:space="preserve">Extraíndo -se a raíz </t>
    </r>
  </si>
  <si>
    <t>ª de cada  membro da iqualdade acima tem-se</t>
  </si>
  <si>
    <t>7)</t>
  </si>
  <si>
    <t>8)</t>
  </si>
  <si>
    <t xml:space="preserve">                           Cálculo do número de meses</t>
  </si>
  <si>
    <t xml:space="preserve"> Entre com a taxa mensal I  =&gt;</t>
  </si>
  <si>
    <t>I é taxa unitátia</t>
  </si>
  <si>
    <t>i=I/100=</t>
  </si>
  <si>
    <t>Cálculos para obtenção do número de meses</t>
  </si>
  <si>
    <t>=   ( 1 +</t>
  </si>
  <si>
    <t xml:space="preserve">n     </t>
  </si>
  <si>
    <r>
      <t xml:space="preserve">5) </t>
    </r>
    <r>
      <rPr>
        <b/>
        <sz val="12"/>
        <rFont val="Times New Roman"/>
        <family val="1"/>
      </rPr>
      <t xml:space="preserve">Calculando-se o logaritmo dos dois lados da igualdade tem-se </t>
    </r>
  </si>
  <si>
    <t>log(</t>
  </si>
  <si>
    <t>) = log(</t>
  </si>
  <si>
    <r>
      <t xml:space="preserve">= </t>
    </r>
    <r>
      <rPr>
        <b/>
        <sz val="12"/>
        <color indexed="12"/>
        <rFont val="Times New Roman"/>
        <family val="1"/>
      </rPr>
      <t>n</t>
    </r>
    <r>
      <rPr>
        <b/>
        <sz val="12"/>
        <rFont val="Times New Roman"/>
        <family val="1"/>
      </rPr>
      <t>log(</t>
    </r>
  </si>
  <si>
    <r>
      <t xml:space="preserve">= </t>
    </r>
    <r>
      <rPr>
        <b/>
        <sz val="12"/>
        <color indexed="12"/>
        <rFont val="Times New Roman"/>
        <family val="1"/>
      </rPr>
      <t xml:space="preserve">n   </t>
    </r>
    <r>
      <rPr>
        <sz val="12"/>
        <rFont val="Times New Roman"/>
        <family val="1"/>
      </rPr>
      <t>x</t>
    </r>
  </si>
  <si>
    <r>
      <t xml:space="preserve">  M=C(1+i)</t>
    </r>
    <r>
      <rPr>
        <b/>
        <vertAlign val="superscript"/>
        <sz val="14"/>
        <rFont val="Times New Roman"/>
        <family val="1"/>
      </rPr>
      <t>n</t>
    </r>
    <r>
      <rPr>
        <b/>
        <sz val="14"/>
        <rFont val="Times New Roman"/>
        <family val="1"/>
      </rPr>
      <t xml:space="preserve"> , onde</t>
    </r>
  </si>
  <si>
    <r>
      <t>M=C(1+i)</t>
    </r>
    <r>
      <rPr>
        <b/>
        <vertAlign val="superscript"/>
        <sz val="14"/>
        <rFont val="Times New Roman"/>
        <family val="1"/>
      </rPr>
      <t xml:space="preserve">n </t>
    </r>
  </si>
  <si>
    <t xml:space="preserve">1)         </t>
  </si>
  <si>
    <r>
      <t xml:space="preserve">   M=C(1+i)</t>
    </r>
    <r>
      <rPr>
        <b/>
        <vertAlign val="superscript"/>
        <sz val="14"/>
        <rFont val="Times New Roman"/>
        <family val="1"/>
      </rPr>
      <t>n</t>
    </r>
    <r>
      <rPr>
        <b/>
        <sz val="14"/>
        <rFont val="Times New Roman"/>
        <family val="1"/>
      </rPr>
      <t xml:space="preserve"> </t>
    </r>
  </si>
  <si>
    <t>19/100=0,19</t>
  </si>
  <si>
    <t>0,24x100=24</t>
  </si>
  <si>
    <t>C =</t>
  </si>
  <si>
    <t>n =</t>
  </si>
  <si>
    <t xml:space="preserve">   Cálculo da  Taxa Mensal de Juros Compostos</t>
  </si>
  <si>
    <r>
      <t xml:space="preserve">x </t>
    </r>
    <r>
      <rPr>
        <b/>
        <sz val="10"/>
        <color indexed="8"/>
        <rFont val="Times New Roman"/>
        <family val="1"/>
      </rPr>
      <t>(  1   +</t>
    </r>
  </si>
  <si>
    <r>
      <t xml:space="preserve">(  1  +  </t>
    </r>
    <r>
      <rPr>
        <b/>
        <sz val="10"/>
        <color indexed="57"/>
        <rFont val="Times New Roman"/>
        <family val="1"/>
      </rPr>
      <t>i</t>
    </r>
    <r>
      <rPr>
        <b/>
        <sz val="10"/>
        <rFont val="Times New Roman"/>
        <family val="1"/>
      </rPr>
      <t xml:space="preserve">  )</t>
    </r>
  </si>
  <si>
    <r>
      <t xml:space="preserve">ou  </t>
    </r>
    <r>
      <rPr>
        <sz val="14"/>
        <color indexed="57"/>
        <rFont val="Times New Roman"/>
        <family val="1"/>
      </rPr>
      <t xml:space="preserve">i </t>
    </r>
    <r>
      <rPr>
        <sz val="12"/>
        <color theme="1"/>
        <rFont val="Calibri"/>
        <family val="2"/>
        <scheme val="minor"/>
      </rPr>
      <t xml:space="preserve"> =</t>
    </r>
  </si>
  <si>
    <t>REGRA DE SOCIEDADE</t>
  </si>
  <si>
    <t xml:space="preserve">Quanto deste lucro coube a cada sócio? </t>
  </si>
  <si>
    <t xml:space="preserve"> respectivamente. No fim de certo tempo a sociedade apresentou um lucro de R$</t>
  </si>
  <si>
    <t>&lt;=</t>
  </si>
  <si>
    <t>Em segundo lugar podemos calcular  quantos %  ou qual a fração do  capital total corresponde a cada um:</t>
  </si>
  <si>
    <t xml:space="preserve">Antônio: </t>
  </si>
  <si>
    <t>Capital</t>
  </si>
  <si>
    <t>Beto</t>
  </si>
  <si>
    <t>Carlos</t>
  </si>
  <si>
    <t xml:space="preserve"> xA</t>
  </si>
  <si>
    <t xml:space="preserve"> xC</t>
  </si>
  <si>
    <t xml:space="preserve"> xB</t>
  </si>
  <si>
    <t>B:   R$</t>
  </si>
  <si>
    <t>A:   R$</t>
  </si>
  <si>
    <t>C:   R$</t>
  </si>
  <si>
    <t>Lucro</t>
  </si>
  <si>
    <r>
      <rPr>
        <b/>
        <sz val="12"/>
        <color rgb="FFFFFF00"/>
        <rFont val="Calibri"/>
        <family val="2"/>
        <scheme val="minor"/>
      </rPr>
      <t>Antônio</t>
    </r>
    <r>
      <rPr>
        <b/>
        <sz val="12"/>
        <color theme="0"/>
        <rFont val="Calibri"/>
        <family val="2"/>
        <scheme val="minor"/>
      </rPr>
      <t xml:space="preserve">, </t>
    </r>
    <r>
      <rPr>
        <b/>
        <sz val="12"/>
        <color rgb="FF66CCFF"/>
        <rFont val="Calibri"/>
        <family val="2"/>
        <scheme val="minor"/>
      </rPr>
      <t>Beto</t>
    </r>
    <r>
      <rPr>
        <b/>
        <sz val="12"/>
        <color theme="4" tint="0.59999389629810485"/>
        <rFont val="Calibri"/>
        <family val="2"/>
        <scheme val="minor"/>
      </rPr>
      <t xml:space="preserve"> 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Carlos</t>
    </r>
    <r>
      <rPr>
        <b/>
        <sz val="12"/>
        <color theme="4" tint="0.59999389629810485"/>
        <rFont val="Calibri"/>
        <family val="2"/>
        <scheme val="minor"/>
      </rPr>
      <t xml:space="preserve"> constituem uma  sociedade  com  os  capitais de: </t>
    </r>
  </si>
  <si>
    <t>Em primeiro lugar podemos calcular o capital total: R$</t>
  </si>
  <si>
    <t>Digite o teu nome completo na célula amarela:</t>
  </si>
  <si>
    <t>RG</t>
  </si>
  <si>
    <t xml:space="preserve"> Registre os cálculos aqui:</t>
  </si>
  <si>
    <t>Coloque o preço de venda ali  ==&gt;</t>
  </si>
  <si>
    <r>
      <t xml:space="preserve">Lucro sobre o </t>
    </r>
    <r>
      <rPr>
        <b/>
        <sz val="12"/>
        <color theme="4" tint="0.59999389629810485"/>
        <rFont val="Arial"/>
        <family val="2"/>
      </rPr>
      <t>custo</t>
    </r>
  </si>
  <si>
    <r>
      <t xml:space="preserve">Lucro sobre a </t>
    </r>
    <r>
      <rPr>
        <b/>
        <sz val="12"/>
        <color rgb="FFFFC000"/>
        <rFont val="Arial"/>
        <family val="2"/>
      </rPr>
      <t>venda</t>
    </r>
  </si>
  <si>
    <r>
      <t xml:space="preserve">Prejuízo sobre o </t>
    </r>
    <r>
      <rPr>
        <b/>
        <sz val="12"/>
        <color theme="4" tint="0.59999389629810485"/>
        <rFont val="Arial"/>
        <family val="2"/>
      </rPr>
      <t>custo</t>
    </r>
  </si>
  <si>
    <r>
      <t xml:space="preserve">Prejuízo sobre a </t>
    </r>
    <r>
      <rPr>
        <b/>
        <sz val="12"/>
        <color rgb="FFFFC000"/>
        <rFont val="Arial"/>
        <family val="2"/>
      </rPr>
      <t>venda</t>
    </r>
  </si>
  <si>
    <t>Para João coube  ==&gt;</t>
  </si>
  <si>
    <t>Para Maria coube  ==&gt;</t>
  </si>
  <si>
    <t>Para Vitor coube  ==&gt;</t>
  </si>
  <si>
    <t>Calculadora de regra de três</t>
  </si>
  <si>
    <t>Coloque o valor do ali  ==&gt;</t>
  </si>
  <si>
    <t>Coloque porcentual ali  ==&gt;</t>
  </si>
  <si>
    <t>Referência Principal</t>
  </si>
  <si>
    <t>FIM</t>
  </si>
  <si>
    <t xml:space="preserve">Modelo resolvido </t>
  </si>
  <si>
    <t>Troque apenas os valores das células amarelas</t>
  </si>
  <si>
    <t>%  um notebook foi vendido por R$</t>
  </si>
  <si>
    <t>Aumento</t>
  </si>
  <si>
    <t>Valor novo</t>
  </si>
  <si>
    <t>V</t>
  </si>
  <si>
    <t>A</t>
  </si>
  <si>
    <t>Razão conhecida</t>
  </si>
  <si>
    <r>
      <rPr>
        <b/>
        <sz val="16"/>
        <color theme="9" tint="-0.499984740745262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alor antigo </t>
    </r>
  </si>
  <si>
    <r>
      <rPr>
        <sz val="16"/>
        <color theme="4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alor </t>
    </r>
    <r>
      <rPr>
        <sz val="16"/>
        <color theme="4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ovo</t>
    </r>
  </si>
  <si>
    <t xml:space="preserve">O valor do aumento e o valor antes do aumento, arredondados </t>
  </si>
  <si>
    <t xml:space="preserve">para inteiros, em reais são respectivamente </t>
  </si>
  <si>
    <t xml:space="preserve">Resposta: O aumento foi de R$ </t>
  </si>
  <si>
    <t xml:space="preserve">e o valor </t>
  </si>
  <si>
    <t>antes  do  aumento  foi  de   R$</t>
  </si>
  <si>
    <r>
      <t xml:space="preserve"> Após um </t>
    </r>
    <r>
      <rPr>
        <sz val="16"/>
        <color theme="9" tint="-0.499984740745262"/>
        <rFont val="Verdana"/>
        <family val="2"/>
      </rPr>
      <t xml:space="preserve">desconto </t>
    </r>
    <r>
      <rPr>
        <sz val="16"/>
        <color theme="1"/>
        <rFont val="Verdana"/>
        <family val="2"/>
      </rPr>
      <t>de</t>
    </r>
  </si>
  <si>
    <t xml:space="preserve">O valor do desconto e o valor antes do desconto, arredondados </t>
  </si>
  <si>
    <t>Desconto</t>
  </si>
  <si>
    <r>
      <t xml:space="preserve"> Após um </t>
    </r>
    <r>
      <rPr>
        <sz val="16"/>
        <color theme="9" tint="-0.499984740745262"/>
        <rFont val="Verdana"/>
        <family val="2"/>
      </rPr>
      <t xml:space="preserve">aumento </t>
    </r>
    <r>
      <rPr>
        <sz val="16"/>
        <color theme="1"/>
        <rFont val="Verdana"/>
        <family val="2"/>
      </rPr>
      <t>de</t>
    </r>
  </si>
  <si>
    <t>Valor antigo</t>
  </si>
  <si>
    <r>
      <rPr>
        <b/>
        <sz val="16"/>
        <color rgb="FF00B050"/>
        <rFont val="Calibri"/>
        <family val="2"/>
        <scheme val="minor"/>
      </rPr>
      <t>A</t>
    </r>
    <r>
      <rPr>
        <sz val="16"/>
        <color rgb="FF00B050"/>
        <rFont val="Calibri"/>
        <family val="2"/>
        <scheme val="minor"/>
      </rPr>
      <t>umento</t>
    </r>
  </si>
  <si>
    <t>D</t>
  </si>
  <si>
    <t xml:space="preserve">Um comerciante aumentou todos os seus preços em </t>
  </si>
  <si>
    <t xml:space="preserve"> %. As vendas caíram  e ele quer voltar aos  de antes,</t>
  </si>
  <si>
    <t xml:space="preserve">oferecendo um desconto percentual de modo que o valor líquido </t>
  </si>
  <si>
    <t>seja igual ao valos antes do aumento.</t>
  </si>
  <si>
    <t>Qual o percentual de desconto que deve ser aplicado?</t>
  </si>
  <si>
    <t xml:space="preserve">Resposta: O percentual de desconto deve ser </t>
  </si>
  <si>
    <t>d</t>
  </si>
  <si>
    <t>x ( 1 -</t>
  </si>
  <si>
    <t xml:space="preserve"> ) =</t>
  </si>
  <si>
    <t>Gasolina comum</t>
  </si>
  <si>
    <r>
      <rPr>
        <b/>
        <sz val="16"/>
        <color theme="9" tint="-0.499984740745262"/>
        <rFont val="Calibri"/>
        <family val="2"/>
        <scheme val="minor"/>
      </rPr>
      <t>Etanol</t>
    </r>
    <r>
      <rPr>
        <sz val="16"/>
        <color theme="1"/>
        <rFont val="Calibri"/>
        <family val="2"/>
        <scheme val="minor"/>
      </rPr>
      <t xml:space="preserve"> </t>
    </r>
  </si>
  <si>
    <t>E</t>
  </si>
  <si>
    <t>Líquido</t>
  </si>
  <si>
    <t>Gasolina Pura</t>
  </si>
  <si>
    <t>Etanol</t>
  </si>
  <si>
    <t xml:space="preserve">Resposta: Etanol a ser adicionado a </t>
  </si>
  <si>
    <t>Estudante</t>
  </si>
  <si>
    <t>! Altere os valores que estão nas células amarelas para ver novo exemplo.</t>
  </si>
  <si>
    <t>a=</t>
  </si>
  <si>
    <t>b=</t>
  </si>
  <si>
    <t>cm</t>
  </si>
  <si>
    <t>d=</t>
  </si>
  <si>
    <t>h=</t>
  </si>
  <si>
    <t>kg</t>
  </si>
  <si>
    <t>m³</t>
  </si>
  <si>
    <t>cm =</t>
  </si>
  <si>
    <t>m</t>
  </si>
  <si>
    <t>1º Volume do tijolo maciço:</t>
  </si>
  <si>
    <t>4º Massa específica do material  =  Massa/volume   =</t>
  </si>
  <si>
    <t>3º( Volume do tijolo maciço  -  volume dos 2 cilíndros)  =</t>
  </si>
  <si>
    <t>Massa =</t>
  </si>
  <si>
    <t>kg/m³</t>
  </si>
  <si>
    <t>Qual a probabilidade, expressa em % ,  de  comprar uma peça com</t>
  </si>
  <si>
    <t xml:space="preserve">defeito se entre  </t>
  </si>
  <si>
    <t>Probabilidade  = (nº de peças com defeito)/(Total de peças )</t>
  </si>
  <si>
    <t>Probabilidade  =</t>
  </si>
  <si>
    <t xml:space="preserve"> apresentam  algum defeito.</t>
  </si>
  <si>
    <t xml:space="preserve">que se  encontram na loja,  </t>
  </si>
  <si>
    <r>
      <rPr>
        <sz val="18"/>
        <color rgb="FFFF0000"/>
        <rFont val="Symbol"/>
        <family val="1"/>
        <charset val="2"/>
      </rPr>
      <t>a°</t>
    </r>
    <r>
      <rPr>
        <sz val="18"/>
        <color rgb="FF000000"/>
        <rFont val="Calibri"/>
        <family val="2"/>
        <scheme val="minor"/>
      </rPr>
      <t xml:space="preserve"> =</t>
    </r>
  </si>
  <si>
    <t>°</t>
  </si>
  <si>
    <t>b</t>
  </si>
  <si>
    <r>
      <rPr>
        <sz val="18"/>
        <color rgb="FF0070C0"/>
        <rFont val="Calibri"/>
        <family val="2"/>
        <scheme val="minor"/>
      </rPr>
      <t xml:space="preserve">a </t>
    </r>
    <r>
      <rPr>
        <sz val="18"/>
        <color rgb="FF000000"/>
        <rFont val="Calibri"/>
        <family val="2"/>
        <scheme val="minor"/>
      </rPr>
      <t>=</t>
    </r>
  </si>
  <si>
    <t>b=?</t>
  </si>
  <si>
    <t>c=?</t>
  </si>
  <si>
    <t>a</t>
  </si>
  <si>
    <t>c</t>
  </si>
  <si>
    <t>hip.</t>
  </si>
  <si>
    <r>
      <t>sen(</t>
    </r>
    <r>
      <rPr>
        <sz val="18"/>
        <color rgb="FFFF0000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>)</t>
    </r>
  </si>
  <si>
    <r>
      <t>Cat.Op.</t>
    </r>
    <r>
      <rPr>
        <sz val="18"/>
        <color rgb="FFFF0000"/>
        <rFont val="Symbol"/>
        <family val="1"/>
        <charset val="2"/>
      </rPr>
      <t>a</t>
    </r>
  </si>
  <si>
    <r>
      <t>tg</t>
    </r>
    <r>
      <rPr>
        <sz val="18"/>
        <color rgb="FFFF0000"/>
        <rFont val="Symbol"/>
        <family val="1"/>
        <charset val="2"/>
      </rPr>
      <t>a</t>
    </r>
  </si>
  <si>
    <t xml:space="preserve">=&gt; </t>
  </si>
  <si>
    <t>c =</t>
  </si>
  <si>
    <r>
      <rPr>
        <sz val="18"/>
        <color theme="9" tint="-0.499984740745262"/>
        <rFont val="Calibri"/>
        <family val="2"/>
        <scheme val="minor"/>
      </rPr>
      <t>Cat.Adj.</t>
    </r>
    <r>
      <rPr>
        <sz val="18"/>
        <color rgb="FFFF0000"/>
        <rFont val="Symbol"/>
        <family val="1"/>
        <charset val="2"/>
      </rPr>
      <t>a</t>
    </r>
  </si>
  <si>
    <t>y</t>
  </si>
  <si>
    <t>z</t>
  </si>
  <si>
    <t>b=90-a =</t>
  </si>
  <si>
    <r>
      <t>Cat.Op.</t>
    </r>
    <r>
      <rPr>
        <sz val="18"/>
        <color theme="9" tint="-0.499984740745262"/>
        <rFont val="Symbol"/>
        <family val="1"/>
        <charset val="2"/>
      </rPr>
      <t>a</t>
    </r>
  </si>
  <si>
    <r>
      <t>cos(</t>
    </r>
    <r>
      <rPr>
        <sz val="18"/>
        <color theme="9" tint="-0.499984740745262"/>
        <rFont val="Symbol"/>
        <family val="1"/>
        <charset val="2"/>
      </rPr>
      <t>a</t>
    </r>
    <r>
      <rPr>
        <sz val="18"/>
        <color theme="1"/>
        <rFont val="Calibri"/>
        <family val="2"/>
        <scheme val="minor"/>
      </rPr>
      <t>)</t>
    </r>
  </si>
  <si>
    <r>
      <rPr>
        <sz val="18"/>
        <color rgb="FF00B050"/>
        <rFont val="Symbol"/>
        <family val="1"/>
        <charset val="2"/>
      </rPr>
      <t>a°</t>
    </r>
    <r>
      <rPr>
        <sz val="18"/>
        <color rgb="FF00B050"/>
        <rFont val="Calibri"/>
        <family val="2"/>
        <scheme val="minor"/>
      </rPr>
      <t xml:space="preserve"> </t>
    </r>
  </si>
  <si>
    <r>
      <t>Cat.Adj.</t>
    </r>
    <r>
      <rPr>
        <sz val="18"/>
        <color rgb="FF00B050"/>
        <rFont val="Symbol"/>
        <family val="1"/>
        <charset val="2"/>
      </rPr>
      <t>a</t>
    </r>
  </si>
  <si>
    <r>
      <t>Cat.Op.</t>
    </r>
    <r>
      <rPr>
        <sz val="18"/>
        <color rgb="FF00B050"/>
        <rFont val="Symbol"/>
        <family val="1"/>
        <charset val="2"/>
      </rPr>
      <t>a</t>
    </r>
  </si>
  <si>
    <t>Hip</t>
  </si>
  <si>
    <t>Hip.</t>
  </si>
  <si>
    <r>
      <t>tg(</t>
    </r>
    <r>
      <rPr>
        <sz val="18"/>
        <color theme="9" tint="-0.499984740745262"/>
        <rFont val="Symbol"/>
        <family val="1"/>
        <charset val="2"/>
      </rPr>
      <t>a)</t>
    </r>
  </si>
  <si>
    <r>
      <t>sen(</t>
    </r>
    <r>
      <rPr>
        <sz val="18"/>
        <color theme="9" tint="-0.499984740745262"/>
        <rFont val="Symbol"/>
        <family val="1"/>
        <charset val="2"/>
      </rPr>
      <t>a)</t>
    </r>
  </si>
  <si>
    <t>densidade</t>
  </si>
  <si>
    <t>k/m³</t>
  </si>
  <si>
    <t>mil</t>
  </si>
  <si>
    <t>d=diâmetro</t>
  </si>
  <si>
    <t>b=largura</t>
  </si>
  <si>
    <t>a=comprimento</t>
  </si>
  <si>
    <t>3º( Volume do tijolo maciço  -  volume dos4 cilíndros)  =</t>
  </si>
  <si>
    <t xml:space="preserve"> toneladas/1000</t>
  </si>
  <si>
    <t>Usar</t>
  </si>
  <si>
    <t>Dados</t>
  </si>
  <si>
    <t>4º( Volume do tijolo maciço  -  volume dos4 cilíndros)  =</t>
  </si>
  <si>
    <r>
      <t>4º peso=volume total (m³) x massa específica(kg/m³ x  n° de milheiros</t>
    </r>
    <r>
      <rPr>
        <sz val="12"/>
        <color rgb="FFFF0000"/>
        <rFont val="Calibri"/>
        <family val="2"/>
        <scheme val="minor"/>
      </rPr>
      <t>x1000 /1000t/</t>
    </r>
    <r>
      <rPr>
        <sz val="12"/>
        <color theme="1"/>
        <rFont val="Calibri"/>
        <family val="2"/>
        <scheme val="minor"/>
      </rPr>
      <t>m³.</t>
    </r>
  </si>
  <si>
    <t xml:space="preserve">toneladas </t>
  </si>
  <si>
    <t>raio=</t>
  </si>
  <si>
    <r>
      <rPr>
        <sz val="12"/>
        <color theme="1"/>
        <rFont val="Calibri"/>
        <family val="2"/>
        <scheme val="minor"/>
      </rPr>
      <t xml:space="preserve">1º Volume de 1  tijolo </t>
    </r>
    <r>
      <rPr>
        <sz val="8"/>
        <color theme="1"/>
        <rFont val="Calibri"/>
        <family val="2"/>
        <scheme val="minor"/>
      </rPr>
      <t>maciço: axbxc:</t>
    </r>
  </si>
  <si>
    <t>mil tijolos</t>
  </si>
  <si>
    <t>lado do tri_base</t>
  </si>
  <si>
    <t xml:space="preserve">Usar </t>
  </si>
  <si>
    <t>Volume do cilíndro envolvido</t>
  </si>
  <si>
    <t>b/3</t>
  </si>
  <si>
    <t>b/4</t>
  </si>
  <si>
    <r>
      <t xml:space="preserve">3º Volume de 1 tijolo com 3 furos! ( Volume do tijolo maciço </t>
    </r>
    <r>
      <rPr>
        <b/>
        <sz val="14"/>
        <rFont val="Calibri"/>
        <family val="2"/>
        <scheme val="minor"/>
      </rPr>
      <t>-</t>
    </r>
    <r>
      <rPr>
        <sz val="12"/>
        <rFont val="Calibri"/>
        <family val="2"/>
        <scheme val="minor"/>
      </rPr>
      <t xml:space="preserve"> volume dos 3 prismas)  =</t>
    </r>
  </si>
  <si>
    <t>4º  Massa de 1 tijolo vazado = volume em m³ x Massa específica=</t>
  </si>
  <si>
    <t>1º Volume de 1 tijolo maciço axbxc:</t>
  </si>
  <si>
    <t xml:space="preserve">mil tijolos para transporte= volume de 1 maciço x </t>
  </si>
  <si>
    <t xml:space="preserve">5ª volume de </t>
  </si>
  <si>
    <t>4º peso=volume total (m³) x massa específica(kg/m³ x  n° de milheirosx1000 /1000t/m³.</t>
  </si>
  <si>
    <t>Qual a probabilidade, expressa em % ,  de  comprar uma peça sem</t>
  </si>
  <si>
    <t xml:space="preserve"> O valor na etiqueta antes do desconto e o valor do desconto são respectivamente </t>
  </si>
  <si>
    <r>
      <t>cos(</t>
    </r>
    <r>
      <rPr>
        <sz val="14"/>
        <color theme="9" tint="-0.499984740745262"/>
        <rFont val="Symbol"/>
        <family val="1"/>
        <charset val="2"/>
      </rPr>
      <t>a</t>
    </r>
    <r>
      <rPr>
        <sz val="14"/>
        <color theme="1"/>
        <rFont val="Calibri"/>
        <family val="2"/>
        <scheme val="minor"/>
      </rPr>
      <t>)</t>
    </r>
  </si>
  <si>
    <r>
      <rPr>
        <sz val="14"/>
        <color theme="9" tint="-0.499984740745262"/>
        <rFont val="Symbol"/>
        <family val="1"/>
        <charset val="2"/>
      </rPr>
      <t>a°</t>
    </r>
    <r>
      <rPr>
        <sz val="14"/>
        <color theme="9" tint="-0.499984740745262"/>
        <rFont val="Calibri"/>
        <family val="2"/>
        <scheme val="minor"/>
      </rPr>
      <t xml:space="preserve"> </t>
    </r>
  </si>
  <si>
    <r>
      <rPr>
        <sz val="14"/>
        <color rgb="FF0070C0"/>
        <rFont val="Calibri"/>
        <family val="2"/>
        <scheme val="minor"/>
      </rPr>
      <t>Cat.Adj</t>
    </r>
    <r>
      <rPr>
        <sz val="14"/>
        <color theme="1"/>
        <rFont val="Calibri"/>
        <family val="2"/>
        <scheme val="minor"/>
      </rPr>
      <t>.</t>
    </r>
    <r>
      <rPr>
        <sz val="14"/>
        <color theme="9" tint="-0.499984740745262"/>
        <rFont val="Symbol"/>
        <family val="1"/>
        <charset val="2"/>
      </rPr>
      <t>a</t>
    </r>
  </si>
  <si>
    <r>
      <rPr>
        <sz val="14"/>
        <color rgb="FF00B050"/>
        <rFont val="Calibri"/>
        <family val="2"/>
        <scheme val="minor"/>
      </rPr>
      <t>Cat.Op</t>
    </r>
    <r>
      <rPr>
        <sz val="14"/>
        <color theme="1"/>
        <rFont val="Calibri"/>
        <family val="2"/>
        <scheme val="minor"/>
      </rPr>
      <t>.</t>
    </r>
    <r>
      <rPr>
        <sz val="14"/>
        <color theme="9" tint="-0.499984740745262"/>
        <rFont val="Symbol"/>
        <family val="1"/>
        <charset val="2"/>
      </rPr>
      <t>a</t>
    </r>
  </si>
  <si>
    <r>
      <t>tg(</t>
    </r>
    <r>
      <rPr>
        <sz val="14"/>
        <color theme="9" tint="-0.499984740745262"/>
        <rFont val="Symbol"/>
        <family val="1"/>
        <charset val="2"/>
      </rPr>
      <t>a)</t>
    </r>
  </si>
  <si>
    <r>
      <rPr>
        <sz val="14"/>
        <color rgb="FF0070C0"/>
        <rFont val="Calibri"/>
        <family val="2"/>
        <scheme val="minor"/>
      </rPr>
      <t>Cat.Adj</t>
    </r>
    <r>
      <rPr>
        <sz val="14"/>
        <color theme="9" tint="-0.499984740745262"/>
        <rFont val="Calibri"/>
        <family val="2"/>
        <scheme val="minor"/>
      </rPr>
      <t>.</t>
    </r>
    <r>
      <rPr>
        <sz val="14"/>
        <color theme="9" tint="-0.499984740745262"/>
        <rFont val="Symbol"/>
        <family val="1"/>
        <charset val="2"/>
      </rPr>
      <t>a</t>
    </r>
  </si>
  <si>
    <r>
      <t>sen(</t>
    </r>
    <r>
      <rPr>
        <sz val="14"/>
        <color theme="9" tint="-0.499984740745262"/>
        <rFont val="Symbol"/>
        <family val="1"/>
        <charset val="2"/>
      </rPr>
      <t>a)</t>
    </r>
  </si>
  <si>
    <r>
      <rPr>
        <sz val="14"/>
        <color theme="9" tint="-0.499984740745262"/>
        <rFont val="Symbol"/>
        <family val="1"/>
        <charset val="2"/>
      </rPr>
      <t>b°</t>
    </r>
    <r>
      <rPr>
        <sz val="14"/>
        <color theme="9" tint="-0.499984740745262"/>
        <rFont val="Calibri"/>
        <family val="2"/>
        <scheme val="minor"/>
      </rPr>
      <t xml:space="preserve"> </t>
    </r>
  </si>
  <si>
    <r>
      <rPr>
        <sz val="14"/>
        <color rgb="FF0070C0"/>
        <rFont val="Calibri"/>
        <family val="2"/>
        <scheme val="minor"/>
      </rPr>
      <t>Cat.Adj</t>
    </r>
    <r>
      <rPr>
        <sz val="14"/>
        <color theme="1"/>
        <rFont val="Calibri"/>
        <family val="2"/>
        <scheme val="minor"/>
      </rPr>
      <t>.</t>
    </r>
    <r>
      <rPr>
        <sz val="14"/>
        <color theme="9" tint="-0.499984740745262"/>
        <rFont val="Symbol"/>
        <family val="1"/>
        <charset val="2"/>
      </rPr>
      <t>b</t>
    </r>
  </si>
  <si>
    <r>
      <rPr>
        <sz val="14"/>
        <color rgb="FF00B050"/>
        <rFont val="Calibri"/>
        <family val="2"/>
        <scheme val="minor"/>
      </rPr>
      <t>Cat.Op</t>
    </r>
    <r>
      <rPr>
        <sz val="14"/>
        <color theme="1"/>
        <rFont val="Calibri"/>
        <family val="2"/>
        <scheme val="minor"/>
      </rPr>
      <t>.</t>
    </r>
  </si>
  <si>
    <r>
      <rPr>
        <sz val="14"/>
        <color rgb="FF0070C0"/>
        <rFont val="Calibri"/>
        <family val="2"/>
        <scheme val="minor"/>
      </rPr>
      <t>Cat.Adj</t>
    </r>
    <r>
      <rPr>
        <sz val="14"/>
        <color theme="9" tint="-0.499984740745262"/>
        <rFont val="Calibri"/>
        <family val="2"/>
        <scheme val="minor"/>
      </rPr>
      <t>.</t>
    </r>
  </si>
  <si>
    <t>a=90-b =</t>
  </si>
  <si>
    <r>
      <t>cos(</t>
    </r>
    <r>
      <rPr>
        <sz val="14"/>
        <color theme="9" tint="-0.499984740745262"/>
        <rFont val="Symbol"/>
        <family val="1"/>
        <charset val="2"/>
      </rPr>
      <t>b°</t>
    </r>
    <r>
      <rPr>
        <sz val="14"/>
        <color theme="1"/>
        <rFont val="Calibri"/>
        <family val="2"/>
        <scheme val="minor"/>
      </rPr>
      <t>)</t>
    </r>
  </si>
  <si>
    <r>
      <t>tg(</t>
    </r>
    <r>
      <rPr>
        <sz val="14"/>
        <color theme="9" tint="-0.499984740745262"/>
        <rFont val="Symbol"/>
        <family val="1"/>
        <charset val="2"/>
      </rPr>
      <t>b°)</t>
    </r>
  </si>
  <si>
    <r>
      <t>sen(</t>
    </r>
    <r>
      <rPr>
        <sz val="14"/>
        <color theme="9" tint="-0.499984740745262"/>
        <rFont val="Symbol"/>
        <family val="1"/>
        <charset val="2"/>
      </rPr>
      <t>b°)</t>
    </r>
  </si>
  <si>
    <t>a=90-b=</t>
  </si>
  <si>
    <r>
      <rPr>
        <sz val="14"/>
        <color rgb="FF00B050"/>
        <rFont val="Calibri"/>
        <family val="2"/>
        <scheme val="minor"/>
      </rPr>
      <t>Cat.Adj.</t>
    </r>
    <r>
      <rPr>
        <sz val="14"/>
        <color theme="9" tint="-0.499984740745262"/>
        <rFont val="Symbol"/>
        <family val="1"/>
        <charset val="2"/>
      </rPr>
      <t>b</t>
    </r>
  </si>
  <si>
    <r>
      <rPr>
        <sz val="14"/>
        <color rgb="FF00B050"/>
        <rFont val="Calibri"/>
        <family val="2"/>
        <scheme val="minor"/>
      </rPr>
      <t>Cat.Adj</t>
    </r>
    <r>
      <rPr>
        <sz val="14"/>
        <color theme="9" tint="-0.499984740745262"/>
        <rFont val="Calibri"/>
        <family val="2"/>
        <scheme val="minor"/>
      </rPr>
      <t>.</t>
    </r>
  </si>
  <si>
    <t>Cat.Op.</t>
  </si>
  <si>
    <r>
      <rPr>
        <sz val="14"/>
        <color rgb="FF00B050"/>
        <rFont val="Calibri"/>
        <family val="2"/>
        <scheme val="minor"/>
      </rPr>
      <t>Cat.Adj</t>
    </r>
    <r>
      <rPr>
        <sz val="14"/>
        <color theme="1"/>
        <rFont val="Calibri"/>
        <family val="2"/>
        <scheme val="minor"/>
      </rPr>
      <t>.</t>
    </r>
    <r>
      <rPr>
        <sz val="14"/>
        <color theme="9" tint="-0.499984740745262"/>
        <rFont val="Symbol"/>
        <family val="1"/>
        <charset val="2"/>
      </rPr>
      <t>b</t>
    </r>
  </si>
  <si>
    <r>
      <rPr>
        <sz val="14"/>
        <color rgb="FF0070C0"/>
        <rFont val="Calibri"/>
        <family val="2"/>
        <scheme val="minor"/>
      </rPr>
      <t>Cat.Op</t>
    </r>
    <r>
      <rPr>
        <sz val="14"/>
        <color theme="1"/>
        <rFont val="Calibri"/>
        <family val="2"/>
        <scheme val="minor"/>
      </rPr>
      <t>.</t>
    </r>
    <r>
      <rPr>
        <sz val="14"/>
        <color theme="9" tint="-0.499984740745262"/>
        <rFont val="Symbol"/>
        <family val="1"/>
        <charset val="2"/>
      </rPr>
      <t>b</t>
    </r>
  </si>
  <si>
    <t>=&gt; x =</t>
  </si>
  <si>
    <t>=&gt; y =</t>
  </si>
  <si>
    <t xml:space="preserve">Resposta: O desconto foi de R$ </t>
  </si>
  <si>
    <t>antes  do  desconto foi  de   R$</t>
  </si>
  <si>
    <t>?</t>
  </si>
  <si>
    <t>a =</t>
  </si>
  <si>
    <r>
      <rPr>
        <sz val="16"/>
        <color rgb="FFFF0000"/>
        <rFont val="Symbol"/>
        <family val="1"/>
        <charset val="2"/>
      </rPr>
      <t>a°</t>
    </r>
    <r>
      <rPr>
        <sz val="16"/>
        <color theme="1"/>
        <rFont val="Calibri"/>
        <family val="2"/>
        <scheme val="minor"/>
      </rPr>
      <t xml:space="preserve"> =</t>
    </r>
  </si>
  <si>
    <r>
      <t>Cat.Op.</t>
    </r>
    <r>
      <rPr>
        <sz val="16"/>
        <color rgb="FFFF0000"/>
        <rFont val="Symbol"/>
        <family val="1"/>
        <charset val="2"/>
      </rPr>
      <t>a</t>
    </r>
  </si>
  <si>
    <r>
      <t>sen(</t>
    </r>
    <r>
      <rPr>
        <sz val="16"/>
        <color rgb="FFFF0000"/>
        <rFont val="Symbol"/>
        <family val="1"/>
        <charset val="2"/>
      </rPr>
      <t>a</t>
    </r>
    <r>
      <rPr>
        <sz val="16"/>
        <color theme="1"/>
        <rFont val="Calibri"/>
        <family val="2"/>
        <scheme val="minor"/>
      </rPr>
      <t>)</t>
    </r>
  </si>
  <si>
    <r>
      <t>tg</t>
    </r>
    <r>
      <rPr>
        <sz val="16"/>
        <color rgb="FFFF0000"/>
        <rFont val="Symbol"/>
        <family val="1"/>
        <charset val="2"/>
      </rPr>
      <t>a</t>
    </r>
  </si>
  <si>
    <r>
      <rPr>
        <sz val="16"/>
        <color theme="9" tint="-0.499984740745262"/>
        <rFont val="Calibri"/>
        <family val="2"/>
        <scheme val="minor"/>
      </rPr>
      <t>Cat.Adj.</t>
    </r>
    <r>
      <rPr>
        <sz val="16"/>
        <color rgb="FFFF0000"/>
        <rFont val="Symbol"/>
        <family val="1"/>
        <charset val="2"/>
      </rPr>
      <t>a</t>
    </r>
  </si>
  <si>
    <t>b =</t>
  </si>
  <si>
    <t>litros de etanol.</t>
  </si>
  <si>
    <t xml:space="preserve"> apresentam  defeito.</t>
  </si>
  <si>
    <t>Probabilidade  = (nº de peças sem defeito)/(Total de peças )</t>
  </si>
  <si>
    <t>Gcomum</t>
  </si>
  <si>
    <t>Pois</t>
  </si>
  <si>
    <t>de  (</t>
  </si>
  <si>
    <t>litros</t>
  </si>
  <si>
    <t>A gasolina comum é mistura de etanol com gasolina tipo A ou gasolina pura.</t>
  </si>
  <si>
    <t>Se o percentual de etanol que deve ter na gasolina comum passar para</t>
  </si>
  <si>
    <t>% quantos litros de etanol deve ser adicionado a</t>
  </si>
  <si>
    <t>Se o percentual de etanol tem na gasolina comum for</t>
  </si>
  <si>
    <t>Gp</t>
  </si>
  <si>
    <t>A gasolina comum é mistura de etanol com gasolina tipo A ou gasolina pura(Gp).</t>
  </si>
  <si>
    <t xml:space="preserve">Resposta: A quantidade de etanol em </t>
  </si>
  <si>
    <t>então  a quantidades de etanol  em</t>
  </si>
  <si>
    <t xml:space="preserve">litros de gasolina comum </t>
  </si>
  <si>
    <t>é</t>
  </si>
  <si>
    <t>em</t>
  </si>
  <si>
    <t>litros de gasolina pura?</t>
  </si>
  <si>
    <t>litros de gasolina comum?</t>
  </si>
  <si>
    <t>de</t>
  </si>
  <si>
    <t>litros de gasolina comum =</t>
  </si>
  <si>
    <t>litros de gasolina do tipo A</t>
  </si>
  <si>
    <t>PE</t>
  </si>
  <si>
    <t xml:space="preserve">Neste repositório foram adicionados </t>
  </si>
  <si>
    <t xml:space="preserve"> Sendo assim, o percentual de etanol, presente na mistura é de  </t>
  </si>
  <si>
    <t>II4.3 Um reservatório  de uma empresa  estava com</t>
  </si>
  <si>
    <t>PGp</t>
  </si>
  <si>
    <t>Resposta: O percentual de etanol presente na gasolina comum é</t>
  </si>
  <si>
    <t>de fato,</t>
  </si>
  <si>
    <t>Atualmente a norma é que deve   ter 27% de etanol(E) na gasolina comum.</t>
  </si>
  <si>
    <t>Atualmente a norma é que deve   ter 27% de etanol(E) na gasolina comum com margem de erro de 1%.</t>
  </si>
  <si>
    <t>Atualmente a norma é que deve   ter 27% de etanol na gasolina comum com margem de erro de 1%.</t>
  </si>
  <si>
    <t>Autoria : Tânia Michel Pereira</t>
  </si>
  <si>
    <t>Instituição:</t>
  </si>
  <si>
    <t>Unijúi</t>
  </si>
  <si>
    <t>Ano: 2019</t>
  </si>
  <si>
    <t>Obrigada!</t>
  </si>
  <si>
    <t>Digite o teu RG da Unijuí na célula amarela</t>
  </si>
  <si>
    <t xml:space="preserve">% quantos litros de  gasolina pura   estarão presentes  em </t>
  </si>
  <si>
    <t>Resposta: A quantidade de gasilina pura presente na gasolina comum será de</t>
  </si>
  <si>
    <t xml:space="preserve">então  a quantidades de gasolina pura  em </t>
  </si>
  <si>
    <t xml:space="preserve"> Sendo assim, o percentual de gasolina, presente na mistura é de  </t>
  </si>
  <si>
    <t>Resposta: O percentual de gasolina pura  presente na gasolina comum é</t>
  </si>
  <si>
    <t>1º Volume de 1  tijolo maciço:</t>
  </si>
  <si>
    <t>V=</t>
  </si>
  <si>
    <t>v=</t>
  </si>
  <si>
    <t>4º( Volume de 1 tijolo maciço  -  volume dos 4 cilíndros)  =</t>
  </si>
  <si>
    <t>Tonelada</t>
  </si>
  <si>
    <t/>
  </si>
  <si>
    <t>m³=volume total</t>
  </si>
  <si>
    <t>peso total</t>
  </si>
  <si>
    <t>toneladas</t>
  </si>
  <si>
    <r>
      <rPr>
        <b/>
        <sz val="12"/>
        <color theme="9" tint="-0.499984740745262"/>
        <rFont val="Verdana"/>
        <family val="2"/>
      </rPr>
      <t>V</t>
    </r>
    <r>
      <rPr>
        <sz val="12"/>
        <color theme="1"/>
        <rFont val="Verdana"/>
        <family val="2"/>
      </rPr>
      <t xml:space="preserve">alor antigo </t>
    </r>
  </si>
  <si>
    <r>
      <rPr>
        <b/>
        <sz val="12"/>
        <color theme="1"/>
        <rFont val="Verdana"/>
        <family val="2"/>
      </rPr>
      <t>A</t>
    </r>
    <r>
      <rPr>
        <sz val="12"/>
        <color theme="1"/>
        <rFont val="Verdana"/>
        <family val="2"/>
      </rPr>
      <t>umento=</t>
    </r>
  </si>
  <si>
    <r>
      <t xml:space="preserve">Após um </t>
    </r>
    <r>
      <rPr>
        <sz val="11"/>
        <color theme="9" tint="-0.499984740745262"/>
        <rFont val="Verdana"/>
        <family val="2"/>
      </rPr>
      <t xml:space="preserve">aumento </t>
    </r>
    <r>
      <rPr>
        <sz val="11"/>
        <color theme="1"/>
        <rFont val="Verdana"/>
        <family val="2"/>
      </rPr>
      <t>de</t>
    </r>
  </si>
  <si>
    <r>
      <rPr>
        <b/>
        <sz val="11"/>
        <color theme="9" tint="-0.499984740745262"/>
        <rFont val="Verdana"/>
        <family val="2"/>
      </rPr>
      <t>V</t>
    </r>
    <r>
      <rPr>
        <sz val="11"/>
        <color theme="1"/>
        <rFont val="Verdana"/>
        <family val="2"/>
      </rPr>
      <t xml:space="preserve">alor antigo </t>
    </r>
  </si>
  <si>
    <r>
      <rPr>
        <b/>
        <sz val="11"/>
        <color rgb="FF00B050"/>
        <rFont val="Verdana"/>
        <family val="2"/>
      </rPr>
      <t>A</t>
    </r>
    <r>
      <rPr>
        <sz val="11"/>
        <color rgb="FF00B050"/>
        <rFont val="Verdana"/>
        <family val="2"/>
      </rPr>
      <t>umento</t>
    </r>
  </si>
  <si>
    <r>
      <t xml:space="preserve"> Após um </t>
    </r>
    <r>
      <rPr>
        <sz val="10"/>
        <color theme="9" tint="-0.499984740745262"/>
        <rFont val="Verdana"/>
        <family val="2"/>
      </rPr>
      <t xml:space="preserve">desconto </t>
    </r>
    <r>
      <rPr>
        <sz val="10"/>
        <color theme="1"/>
        <rFont val="Verdana"/>
        <family val="2"/>
      </rPr>
      <t>de</t>
    </r>
  </si>
  <si>
    <r>
      <rPr>
        <b/>
        <sz val="10"/>
        <color theme="9" tint="-0.499984740745262"/>
        <rFont val="Verdana"/>
        <family val="2"/>
      </rPr>
      <t>V</t>
    </r>
    <r>
      <rPr>
        <sz val="10"/>
        <color theme="1"/>
        <rFont val="Verdana"/>
        <family val="2"/>
      </rPr>
      <t xml:space="preserve">alor antigo </t>
    </r>
  </si>
  <si>
    <r>
      <rPr>
        <b/>
        <sz val="10"/>
        <color rgb="FF00B050"/>
        <rFont val="Verdana"/>
        <family val="2"/>
      </rPr>
      <t>A</t>
    </r>
    <r>
      <rPr>
        <sz val="10"/>
        <color rgb="FF00B050"/>
        <rFont val="Verdana"/>
        <family val="2"/>
      </rPr>
      <t>umento</t>
    </r>
  </si>
  <si>
    <t xml:space="preserve"> A gasolina comum é mistura de etanol com gasolina tipo A ou gasolina pura(Gp).</t>
  </si>
  <si>
    <r>
      <rPr>
        <b/>
        <sz val="12"/>
        <color theme="9" tint="-0.499984740745262"/>
        <rFont val="Calibri"/>
        <family val="2"/>
        <scheme val="minor"/>
      </rPr>
      <t>Etanol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</si>
  <si>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4"/>
        <color theme="9" tint="-0.499984740745262"/>
        <rFont val="Calibri"/>
        <family val="2"/>
        <scheme val="minor"/>
      </rPr>
      <t>Etanol</t>
    </r>
    <r>
      <rPr>
        <sz val="14"/>
        <color theme="1"/>
        <rFont val="Calibri"/>
        <family val="2"/>
        <scheme val="minor"/>
      </rPr>
      <t xml:space="preserve"> </t>
    </r>
  </si>
  <si>
    <t>Unidade2:</t>
  </si>
  <si>
    <t>cm.</t>
  </si>
  <si>
    <r>
      <rPr>
        <sz val="14"/>
        <color rgb="FFFF0000"/>
        <rFont val="Symbol"/>
        <family val="1"/>
        <charset val="2"/>
      </rPr>
      <t>a°</t>
    </r>
    <r>
      <rPr>
        <sz val="14"/>
        <color theme="1"/>
        <rFont val="Calibri"/>
        <family val="2"/>
        <scheme val="minor"/>
      </rPr>
      <t xml:space="preserve"> =</t>
    </r>
  </si>
  <si>
    <r>
      <rPr>
        <sz val="14"/>
        <color rgb="FF0070C0"/>
        <rFont val="Calibri"/>
        <family val="2"/>
        <scheme val="minor"/>
      </rPr>
      <t xml:space="preserve">a </t>
    </r>
    <r>
      <rPr>
        <sz val="14"/>
        <color theme="1"/>
        <rFont val="Calibri"/>
        <family val="2"/>
        <scheme val="minor"/>
      </rPr>
      <t>=</t>
    </r>
  </si>
  <si>
    <r>
      <t>Cat.Op.</t>
    </r>
    <r>
      <rPr>
        <sz val="14"/>
        <color rgb="FFFF0000"/>
        <rFont val="Symbol"/>
        <family val="1"/>
        <charset val="2"/>
      </rPr>
      <t>a</t>
    </r>
  </si>
  <si>
    <r>
      <t>sen(</t>
    </r>
    <r>
      <rPr>
        <sz val="14"/>
        <color rgb="FFFF0000"/>
        <rFont val="Symbol"/>
        <family val="1"/>
        <charset val="2"/>
      </rPr>
      <t>a</t>
    </r>
    <r>
      <rPr>
        <sz val="14"/>
        <color theme="1"/>
        <rFont val="Calibri"/>
        <family val="2"/>
        <scheme val="minor"/>
      </rPr>
      <t>)</t>
    </r>
  </si>
  <si>
    <r>
      <t>tg</t>
    </r>
    <r>
      <rPr>
        <sz val="14"/>
        <color rgb="FFFF0000"/>
        <rFont val="Symbol"/>
        <family val="1"/>
        <charset val="2"/>
      </rPr>
      <t>a</t>
    </r>
  </si>
  <si>
    <r>
      <rPr>
        <sz val="14"/>
        <color theme="9" tint="-0.499984740745262"/>
        <rFont val="Calibri"/>
        <family val="2"/>
        <scheme val="minor"/>
      </rPr>
      <t>Cat.Adj.</t>
    </r>
    <r>
      <rPr>
        <sz val="14"/>
        <color rgb="FFFF0000"/>
        <rFont val="Symbol"/>
        <family val="1"/>
        <charset val="2"/>
      </rPr>
      <t>a</t>
    </r>
  </si>
  <si>
    <r>
      <rPr>
        <sz val="12"/>
        <color theme="4"/>
        <rFont val="Verdana"/>
        <family val="2"/>
      </rPr>
      <t>V</t>
    </r>
    <r>
      <rPr>
        <sz val="12"/>
        <color theme="1"/>
        <rFont val="Verdana"/>
        <family val="2"/>
      </rPr>
      <t xml:space="preserve">alor </t>
    </r>
    <r>
      <rPr>
        <sz val="12"/>
        <color theme="4"/>
        <rFont val="Verdana"/>
        <family val="2"/>
      </rPr>
      <t>n</t>
    </r>
    <r>
      <rPr>
        <sz val="12"/>
        <color theme="1"/>
        <rFont val="Verdana"/>
        <family val="2"/>
      </rPr>
      <t>ovo</t>
    </r>
  </si>
  <si>
    <r>
      <t xml:space="preserve"> Após um </t>
    </r>
    <r>
      <rPr>
        <sz val="12"/>
        <color theme="9" tint="-0.499984740745262"/>
        <rFont val="Calibri"/>
        <family val="2"/>
        <scheme val="minor"/>
      </rPr>
      <t xml:space="preserve">desconto </t>
    </r>
    <r>
      <rPr>
        <sz val="12"/>
        <color theme="1"/>
        <rFont val="Calibri"/>
        <family val="2"/>
        <scheme val="minor"/>
      </rPr>
      <t>de</t>
    </r>
  </si>
  <si>
    <t>a=90-a =</t>
  </si>
  <si>
    <t>Numa fábrica os engenheiros montaram um modelo para o cálculo dos volume  dos tubos que fabricam. </t>
  </si>
  <si>
    <t>Raio do cilindro com as dimenções externas do tubo=</t>
  </si>
  <si>
    <t>Altura do cilindro com as dimenções internas  do tubo=</t>
  </si>
  <si>
    <t>Altura do cilindro com as dimenções externas  do tubo=</t>
  </si>
  <si>
    <t>Volume do cilíndro com as dimenções internas do tubo:</t>
  </si>
  <si>
    <t>Use as dimensões expressas na imagem do tubo acima,  para x=</t>
  </si>
  <si>
    <r>
      <t xml:space="preserve">e </t>
    </r>
    <r>
      <rPr>
        <sz val="12"/>
        <color theme="1"/>
        <rFont val="Symbol"/>
        <family val="1"/>
        <charset val="2"/>
      </rPr>
      <t>p</t>
    </r>
    <r>
      <rPr>
        <sz val="12"/>
        <color theme="1"/>
        <rFont val="Verdana"/>
        <family val="2"/>
      </rPr>
      <t>=</t>
    </r>
  </si>
  <si>
    <t xml:space="preserve">Calcule o volume do material  que forma o tubo se a espessura  é </t>
  </si>
  <si>
    <t>m=</t>
  </si>
  <si>
    <t>m +</t>
  </si>
  <si>
    <t xml:space="preserve">Volume  do material que forma o tubo = </t>
  </si>
  <si>
    <r>
      <t xml:space="preserve"> A fórmula do volume do cilindro é : V=</t>
    </r>
    <r>
      <rPr>
        <sz val="12"/>
        <color theme="1"/>
        <rFont val="Symbol"/>
        <family val="1"/>
        <charset val="2"/>
      </rPr>
      <t>p</t>
    </r>
    <r>
      <rPr>
        <sz val="12"/>
        <color theme="1"/>
        <rFont val="Verdana"/>
        <family val="2"/>
      </rPr>
      <t>hr².</t>
    </r>
  </si>
  <si>
    <t>1 milheiro</t>
  </si>
  <si>
    <t>M milheiros</t>
  </si>
  <si>
    <t>d densidade</t>
  </si>
  <si>
    <t>c=altura</t>
  </si>
  <si>
    <t>d=densidade</t>
  </si>
  <si>
    <t>D=diâmetro</t>
  </si>
  <si>
    <t>Raiz de 3</t>
  </si>
  <si>
    <t>d = densidade</t>
  </si>
  <si>
    <t>M=de milheiros</t>
  </si>
  <si>
    <t>M de milheiros</t>
  </si>
  <si>
    <t>Clique nas abas numeradas da parte inferior  para avançar!</t>
  </si>
  <si>
    <t>simuladores</t>
  </si>
  <si>
    <r>
      <rPr>
        <b/>
        <sz val="12"/>
        <color theme="9" tint="-0.499984740745262"/>
        <rFont val="Calibri"/>
        <family val="2"/>
        <scheme val="minor"/>
      </rPr>
      <t>Etanol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</si>
</sst>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_);_(* \(#,##0\);_(* &quot;-&quot;??_);_(@_)"/>
    <numFmt numFmtId="167" formatCode="0.00000"/>
    <numFmt numFmtId="168" formatCode="_(* #,##0.00000_);_(* \(#,##0.00000\);_(* &quot;-&quot;??_);_(@_)"/>
    <numFmt numFmtId="169" formatCode="_(* #,##0.0000_);_(* \(#,##0.0000\);_(* &quot;-&quot;??_);_(@_)"/>
    <numFmt numFmtId="170" formatCode="0.00_);\(0.00\)"/>
    <numFmt numFmtId="171" formatCode="0_);\(0\)"/>
    <numFmt numFmtId="172" formatCode="0.00000_);\(0.00000\)"/>
    <numFmt numFmtId="173" formatCode="_(* #,##0.00000_);_(* \(#,##0.00000\);_(* &quot;-&quot;?????_);_(@_)"/>
    <numFmt numFmtId="174" formatCode="0.0000_);\(0.0000\)"/>
    <numFmt numFmtId="175" formatCode="_(* #,##0.0_);_(* \(#,##0.0\);_(* &quot;-&quot;?????_);_(@_)"/>
    <numFmt numFmtId="176" formatCode="#,##0.00_ ;[Red]\-#,##0.00\ "/>
    <numFmt numFmtId="177" formatCode="#,##0.00_ ;\-#,##0.00\ "/>
    <numFmt numFmtId="178" formatCode="#,##0.000000_ ;\-#,##0.000000\ "/>
    <numFmt numFmtId="179" formatCode="#,##0.0_ ;\-#,##0.0\ "/>
    <numFmt numFmtId="180" formatCode="#,##0_ ;[Red]\-#,##0\ "/>
    <numFmt numFmtId="181" formatCode="0.0000"/>
    <numFmt numFmtId="182" formatCode="0.000"/>
    <numFmt numFmtId="183" formatCode="0.0"/>
  </numFmts>
  <fonts count="29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4" tint="-0.249977111117893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12"/>
      <color theme="4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i/>
      <sz val="14"/>
      <color rgb="FF00B050"/>
      <name val="Times New Roman"/>
      <family val="1"/>
    </font>
    <font>
      <sz val="12"/>
      <color theme="1"/>
      <name val="Symbol"/>
      <family val="1"/>
      <charset val="2"/>
    </font>
    <font>
      <b/>
      <i/>
      <sz val="14"/>
      <color rgb="FFFF0000"/>
      <name val="Times New Roman"/>
      <family val="1"/>
    </font>
    <font>
      <sz val="12"/>
      <color theme="0"/>
      <name val="Calibri"/>
      <family val="2"/>
      <scheme val="minor"/>
    </font>
    <font>
      <sz val="14"/>
      <color rgb="FF0070C0"/>
      <name val="Arial"/>
      <family val="2"/>
    </font>
    <font>
      <sz val="12"/>
      <name val="Arial"/>
      <family val="2"/>
    </font>
    <font>
      <b/>
      <sz val="12"/>
      <color theme="9" tint="-0.499984740745262"/>
      <name val="Arial"/>
      <family val="2"/>
    </font>
    <font>
      <sz val="12"/>
      <color theme="9" tint="-0.499984740745262"/>
      <name val="Arial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  <font>
      <sz val="11"/>
      <color theme="1"/>
      <name val="Calibri"/>
      <family val="2"/>
      <scheme val="minor"/>
    </font>
    <font>
      <sz val="10"/>
      <color indexed="47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47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22"/>
      <name val="Times New Roman"/>
      <family val="1"/>
    </font>
    <font>
      <b/>
      <sz val="12"/>
      <color indexed="8"/>
      <name val="Times New Roman"/>
      <family val="1"/>
    </font>
    <font>
      <b/>
      <i/>
      <sz val="18"/>
      <color indexed="12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color indexed="47"/>
      <name val="Times New Roman"/>
      <family val="1"/>
    </font>
    <font>
      <b/>
      <sz val="14"/>
      <color theme="6" tint="-0.249977111117893"/>
      <name val="Times New Roman"/>
      <family val="1"/>
    </font>
    <font>
      <b/>
      <i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rgb="FF00FF00"/>
      <name val="Times New Roman"/>
      <family val="1"/>
    </font>
    <font>
      <sz val="10"/>
      <color rgb="FF00FF00"/>
      <name val="Times New Roman"/>
      <family val="1"/>
    </font>
    <font>
      <i/>
      <sz val="14"/>
      <color rgb="FF00FF00"/>
      <name val="Times New Roman"/>
      <family val="1"/>
    </font>
    <font>
      <b/>
      <i/>
      <sz val="14"/>
      <color rgb="FF00FF00"/>
      <name val="Times New Roman"/>
      <family val="1"/>
    </font>
    <font>
      <b/>
      <sz val="14"/>
      <color theme="0" tint="-4.9989318521683403E-2"/>
      <name val="Times New Roman"/>
      <family val="1"/>
    </font>
    <font>
      <b/>
      <sz val="14"/>
      <color theme="6" tint="0.59999389629810485"/>
      <name val="Times New Roman"/>
      <family val="1"/>
    </font>
    <font>
      <sz val="10"/>
      <color theme="6" tint="0.59999389629810485"/>
      <name val="Times New Roman"/>
      <family val="1"/>
    </font>
    <font>
      <b/>
      <sz val="14"/>
      <color rgb="FFFFFF00"/>
      <name val="Times New Roman"/>
      <family val="1"/>
    </font>
    <font>
      <b/>
      <sz val="14"/>
      <color indexed="12"/>
      <name val="Times New Roman"/>
      <family val="1"/>
    </font>
    <font>
      <b/>
      <sz val="14"/>
      <color theme="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rgb="FFFFFF00"/>
      <name val="Times New Roman"/>
      <family val="1"/>
    </font>
    <font>
      <b/>
      <i/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4"/>
      <color indexed="8"/>
      <name val="Arial"/>
      <family val="2"/>
    </font>
    <font>
      <b/>
      <sz val="14"/>
      <color indexed="47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theme="6" tint="0.79998168889431442"/>
      <name val="Arial"/>
      <family val="2"/>
    </font>
    <font>
      <b/>
      <sz val="12"/>
      <color rgb="FFFFFF00"/>
      <name val="Arial"/>
      <family val="2"/>
    </font>
    <font>
      <b/>
      <sz val="14"/>
      <color rgb="FFFFFF00"/>
      <name val="Arial"/>
      <family val="2"/>
    </font>
    <font>
      <sz val="12"/>
      <color rgb="FFFFFF00"/>
      <name val="Calibri"/>
      <family val="2"/>
      <scheme val="minor"/>
    </font>
    <font>
      <sz val="12"/>
      <color rgb="FFFFFF00"/>
      <name val="Arial"/>
      <family val="2"/>
    </font>
    <font>
      <b/>
      <sz val="12"/>
      <color theme="0"/>
      <name val="Arial"/>
      <family val="2"/>
    </font>
    <font>
      <b/>
      <sz val="12"/>
      <color rgb="FF00FF00"/>
      <name val="Arial"/>
      <family val="2"/>
    </font>
    <font>
      <b/>
      <sz val="12"/>
      <color rgb="FFCCFF33"/>
      <name val="Arial"/>
      <family val="2"/>
    </font>
    <font>
      <b/>
      <sz val="12"/>
      <color theme="6" tint="0.79998168889431442"/>
      <name val="Arial"/>
      <family val="2"/>
    </font>
    <font>
      <b/>
      <sz val="14"/>
      <color theme="0"/>
      <name val="Arial"/>
      <family val="2"/>
    </font>
    <font>
      <b/>
      <sz val="14"/>
      <color theme="6" tint="0.39997558519241921"/>
      <name val="Arial"/>
      <family val="2"/>
    </font>
    <font>
      <b/>
      <sz val="14"/>
      <color theme="4" tint="0.59999389629810485"/>
      <name val="Arial"/>
      <family val="2"/>
    </font>
    <font>
      <b/>
      <sz val="14"/>
      <color rgb="FF92D05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5" tint="0.59999389629810485"/>
      <name val="Arial"/>
      <family val="2"/>
    </font>
    <font>
      <b/>
      <sz val="12"/>
      <color rgb="FF66CCFF"/>
      <name val="Arial"/>
      <family val="2"/>
    </font>
    <font>
      <b/>
      <sz val="14"/>
      <color rgb="FF00FF00"/>
      <name val="Arial"/>
      <family val="2"/>
    </font>
    <font>
      <b/>
      <sz val="14"/>
      <color rgb="FF66CCFF"/>
      <name val="Arial"/>
      <family val="2"/>
    </font>
    <font>
      <b/>
      <sz val="14"/>
      <color theme="5" tint="0.59999389629810485"/>
      <name val="Arial"/>
      <family val="2"/>
    </font>
    <font>
      <b/>
      <sz val="10"/>
      <color theme="6" tint="0.39997558519241921"/>
      <name val="Arial"/>
      <family val="2"/>
    </font>
    <font>
      <b/>
      <sz val="14"/>
      <color rgb="FF4FD196"/>
      <name val="Arial"/>
      <family val="2"/>
    </font>
    <font>
      <b/>
      <sz val="12"/>
      <color rgb="FF4FD196"/>
      <name val="Arial"/>
      <family val="2"/>
    </font>
    <font>
      <b/>
      <sz val="12"/>
      <color rgb="FFFFFF99"/>
      <name val="Arial"/>
      <family val="2"/>
    </font>
    <font>
      <b/>
      <sz val="12"/>
      <color theme="0" tint="-4.9989318521683403E-2"/>
      <name val="Arial"/>
      <family val="2"/>
    </font>
    <font>
      <b/>
      <sz val="14"/>
      <color theme="0" tint="-0.249977111117893"/>
      <name val="Arial"/>
      <family val="2"/>
    </font>
    <font>
      <b/>
      <sz val="14"/>
      <color theme="0" tint="-0.14999847407452621"/>
      <name val="Arial"/>
      <family val="2"/>
    </font>
    <font>
      <b/>
      <sz val="14"/>
      <color rgb="FFFFFF99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6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sz val="13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5"/>
      <name val="Times New Roman"/>
      <family val="1"/>
    </font>
    <font>
      <sz val="14"/>
      <color indexed="10"/>
      <name val="Times New Roman"/>
      <family val="1"/>
    </font>
    <font>
      <b/>
      <sz val="14"/>
      <color indexed="57"/>
      <name val="Times New Roman"/>
      <family val="1"/>
    </font>
    <font>
      <sz val="14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57"/>
      <name val="Times New Roman"/>
      <family val="1"/>
    </font>
    <font>
      <sz val="14"/>
      <color indexed="57"/>
      <name val="Times New Roman"/>
      <family val="1"/>
    </font>
    <font>
      <b/>
      <vertAlign val="superscript"/>
      <sz val="14"/>
      <name val="Times New Roman"/>
      <family val="1"/>
    </font>
    <font>
      <b/>
      <sz val="10"/>
      <color indexed="57"/>
      <name val="Times New Roman"/>
      <family val="1"/>
    </font>
    <font>
      <sz val="12"/>
      <name val="SimSun"/>
    </font>
    <font>
      <b/>
      <sz val="12"/>
      <color theme="0"/>
      <name val="Calibri"/>
      <family val="2"/>
      <scheme val="minor"/>
    </font>
    <font>
      <b/>
      <sz val="11"/>
      <color rgb="FFC0000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2"/>
      <color rgb="FF00FF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4" tint="0.59999389629810485"/>
      <name val="Calibri"/>
      <family val="2"/>
      <scheme val="minor"/>
    </font>
    <font>
      <b/>
      <sz val="12"/>
      <color theme="4" tint="0.5999938962981048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66CCFF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b/>
      <sz val="12"/>
      <color rgb="FFFFFF99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/>
      <name val="Arial"/>
      <family val="2"/>
    </font>
    <font>
      <b/>
      <sz val="12"/>
      <color theme="4" tint="0.59999389629810485"/>
      <name val="Arial"/>
      <family val="2"/>
    </font>
    <font>
      <b/>
      <sz val="12"/>
      <color rgb="FFFFC000"/>
      <name val="Arial"/>
      <family val="2"/>
    </font>
    <font>
      <b/>
      <sz val="14"/>
      <color theme="1"/>
      <name val="Times New Roman"/>
      <family val="1"/>
    </font>
    <font>
      <sz val="48"/>
      <color theme="1"/>
      <name val="Arial"/>
      <family val="2"/>
    </font>
    <font>
      <sz val="12"/>
      <color theme="4" tint="-0.249977111117893"/>
      <name val="Calibri"/>
      <family val="2"/>
      <scheme val="minor"/>
    </font>
    <font>
      <sz val="12"/>
      <color theme="1"/>
      <name val="Verdana"/>
      <family val="2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sz val="18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Verdana"/>
      <family val="2"/>
    </font>
    <font>
      <sz val="16"/>
      <color theme="9" tint="-0.499984740745262"/>
      <name val="Verdana"/>
      <family val="2"/>
    </font>
    <font>
      <b/>
      <sz val="16"/>
      <color theme="9" tint="-0.499984740745262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sz val="18"/>
      <color theme="1"/>
      <name val="Symbol"/>
      <family val="1"/>
      <charset val="2"/>
    </font>
    <font>
      <sz val="18"/>
      <color rgb="FF000000"/>
      <name val="Calibri"/>
      <family val="2"/>
      <scheme val="minor"/>
    </font>
    <font>
      <sz val="18"/>
      <color rgb="FFFF0000"/>
      <name val="Symbol"/>
      <family val="1"/>
      <charset val="2"/>
    </font>
    <font>
      <sz val="18"/>
      <color theme="9" tint="-0.499984740745262"/>
      <name val="Symbol"/>
      <family val="1"/>
      <charset val="2"/>
    </font>
    <font>
      <sz val="18"/>
      <color rgb="FF00B050"/>
      <name val="Symbol"/>
      <family val="1"/>
      <charset val="2"/>
    </font>
    <font>
      <u/>
      <sz val="18"/>
      <color theme="1"/>
      <name val="Calibri"/>
      <family val="2"/>
      <scheme val="minor"/>
    </font>
    <font>
      <sz val="20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4"/>
      <color rgb="FF000000"/>
      <name val="Verdana"/>
      <family val="2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9" tint="-0.499984740745262"/>
      <name val="Symbol"/>
      <family val="1"/>
      <charset val="2"/>
    </font>
    <font>
      <sz val="14"/>
      <color theme="9" tint="-0.49998474074526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rgb="FF00B05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rgb="FFFF0000"/>
      <name val="Symbol"/>
      <family val="1"/>
      <charset val="2"/>
    </font>
    <font>
      <sz val="16"/>
      <color rgb="FF4FD196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theme="1"/>
      <name val="Verdana"/>
      <family val="2"/>
    </font>
    <font>
      <sz val="14"/>
      <color rgb="FF002060"/>
      <name val="Verdana"/>
      <family val="2"/>
    </font>
    <font>
      <b/>
      <sz val="12"/>
      <color rgb="FF4FD196"/>
      <name val="Calibri"/>
      <family val="2"/>
      <scheme val="minor"/>
    </font>
    <font>
      <sz val="14"/>
      <color theme="0"/>
      <name val="Verdana"/>
      <family val="2"/>
    </font>
    <font>
      <sz val="14"/>
      <color theme="4" tint="-0.249977111117893"/>
      <name val="Verdana"/>
      <family val="2"/>
    </font>
    <font>
      <b/>
      <sz val="16"/>
      <color rgb="FF0070C0"/>
      <name val="Calibri"/>
      <family val="2"/>
      <scheme val="minor"/>
    </font>
    <font>
      <u/>
      <sz val="12"/>
      <color theme="10"/>
      <name val="Calibri"/>
      <family val="2"/>
    </font>
    <font>
      <sz val="12"/>
      <color rgb="FF7030A0"/>
      <name val="Calibri"/>
      <family val="2"/>
      <scheme val="minor"/>
    </font>
    <font>
      <sz val="12"/>
      <color rgb="FF7030A0"/>
      <name val="Verdana"/>
      <family val="2"/>
    </font>
    <font>
      <sz val="11"/>
      <color rgb="FF7030A0"/>
      <name val="Verdana"/>
      <family val="2"/>
    </font>
    <font>
      <sz val="11"/>
      <color rgb="FF7030A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0"/>
      <name val="Verdana"/>
      <family val="2"/>
    </font>
    <font>
      <sz val="12"/>
      <color theme="4" tint="-0.249977111117893"/>
      <name val="Verdana"/>
      <family val="2"/>
    </font>
    <font>
      <b/>
      <sz val="12"/>
      <color theme="9" tint="-0.499984740745262"/>
      <name val="Verdana"/>
      <family val="2"/>
    </font>
    <font>
      <sz val="12"/>
      <color rgb="FF00B050"/>
      <name val="Verdana"/>
      <family val="2"/>
    </font>
    <font>
      <b/>
      <sz val="12"/>
      <color rgb="FF00B050"/>
      <name val="Verdana"/>
      <family val="2"/>
    </font>
    <font>
      <sz val="12"/>
      <color theme="4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rgb="FF002060"/>
      <name val="Verdana"/>
      <family val="2"/>
    </font>
    <font>
      <b/>
      <sz val="12"/>
      <color theme="1"/>
      <name val="Verdana"/>
      <family val="2"/>
    </font>
    <font>
      <sz val="11"/>
      <color theme="0"/>
      <name val="Verdana"/>
      <family val="2"/>
    </font>
    <font>
      <sz val="11"/>
      <color theme="4" tint="-0.249977111117893"/>
      <name val="Verdana"/>
      <family val="2"/>
    </font>
    <font>
      <sz val="11"/>
      <color theme="1"/>
      <name val="Verdana"/>
      <family val="2"/>
    </font>
    <font>
      <sz val="11"/>
      <color theme="9" tint="-0.499984740745262"/>
      <name val="Verdana"/>
      <family val="2"/>
    </font>
    <font>
      <b/>
      <sz val="11"/>
      <color theme="9" tint="-0.499984740745262"/>
      <name val="Verdana"/>
      <family val="2"/>
    </font>
    <font>
      <sz val="11"/>
      <color rgb="FF00B050"/>
      <name val="Verdana"/>
      <family val="2"/>
    </font>
    <font>
      <b/>
      <sz val="11"/>
      <color rgb="FF00B050"/>
      <name val="Verdana"/>
      <family val="2"/>
    </font>
    <font>
      <sz val="11"/>
      <color theme="4"/>
      <name val="Verdana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1"/>
      <color rgb="FF0070C0"/>
      <name val="Verdana"/>
      <family val="2"/>
    </font>
    <font>
      <sz val="11"/>
      <color rgb="FF002060"/>
      <name val="Verdana"/>
      <family val="2"/>
    </font>
    <font>
      <b/>
      <sz val="11"/>
      <color theme="1"/>
      <name val="Verdana"/>
      <family val="2"/>
    </font>
    <font>
      <sz val="12"/>
      <color theme="1"/>
      <name val="Lucida Calligraphy"/>
      <family val="4"/>
    </font>
    <font>
      <sz val="22"/>
      <color theme="1"/>
      <name val="Verdana"/>
      <family val="2"/>
    </font>
    <font>
      <u/>
      <sz val="22"/>
      <color theme="10"/>
      <name val="Verdana"/>
      <family val="2"/>
    </font>
    <font>
      <sz val="10"/>
      <color theme="0"/>
      <name val="Verdana"/>
      <family val="2"/>
    </font>
    <font>
      <sz val="10"/>
      <color theme="4" tint="-0.249977111117893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theme="9" tint="-0.499984740745262"/>
      <name val="Verdana"/>
      <family val="2"/>
    </font>
    <font>
      <b/>
      <sz val="10"/>
      <color theme="9" tint="-0.499984740745262"/>
      <name val="Verdana"/>
      <family val="2"/>
    </font>
    <font>
      <sz val="10"/>
      <color rgb="FF00B050"/>
      <name val="Verdana"/>
      <family val="2"/>
    </font>
    <font>
      <b/>
      <sz val="10"/>
      <color rgb="FF00B050"/>
      <name val="Verdana"/>
      <family val="2"/>
    </font>
    <font>
      <sz val="10"/>
      <color theme="4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rgb="FF0070C0"/>
      <name val="Verdana"/>
      <family val="2"/>
    </font>
    <font>
      <sz val="10"/>
      <color rgb="FF002060"/>
      <name val="Verdana"/>
      <family val="2"/>
    </font>
    <font>
      <b/>
      <sz val="10"/>
      <color theme="1"/>
      <name val="Verdana"/>
      <family val="2"/>
    </font>
    <font>
      <b/>
      <sz val="12"/>
      <color theme="9" tint="-0.499984740745262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4FD196"/>
      <name val="Calibri"/>
      <family val="2"/>
      <scheme val="minor"/>
    </font>
    <font>
      <sz val="14"/>
      <color rgb="FF4FD196"/>
      <name val="Calibri"/>
      <family val="2"/>
      <scheme val="minor"/>
    </font>
    <font>
      <sz val="14"/>
      <color rgb="FFFF0000"/>
      <name val="Symbol"/>
      <family val="1"/>
      <charset val="2"/>
    </font>
    <font>
      <sz val="12"/>
      <color theme="9" tint="-0.499984740745262"/>
      <name val="Verdana"/>
      <family val="2"/>
    </font>
    <font>
      <sz val="12"/>
      <color rgb="FF000000"/>
      <name val="Verdana"/>
      <family val="2"/>
    </font>
    <font>
      <u/>
      <sz val="12"/>
      <color theme="1"/>
      <name val="Verdana"/>
      <family val="2"/>
    </font>
    <font>
      <sz val="12"/>
      <name val="Verdana"/>
      <family val="2"/>
    </font>
    <font>
      <sz val="12"/>
      <color rgb="FFC00000"/>
      <name val="Verdana"/>
      <family val="2"/>
    </font>
    <font>
      <sz val="12"/>
      <color theme="3"/>
      <name val="Verdana"/>
      <family val="2"/>
    </font>
    <font>
      <sz val="24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647D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6" fillId="0" borderId="0" applyNumberFormat="0" applyFill="0" applyBorder="0" applyAlignment="0" applyProtection="0">
      <alignment vertical="top"/>
      <protection locked="0"/>
    </xf>
  </cellStyleXfs>
  <cellXfs count="2229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9" fontId="5" fillId="2" borderId="2" xfId="0" applyNumberFormat="1" applyFont="1" applyFill="1" applyBorder="1" applyAlignment="1">
      <alignment horizontal="right" vertical="center"/>
    </xf>
    <xf numFmtId="9" fontId="5" fillId="2" borderId="3" xfId="1" applyFont="1" applyFill="1" applyBorder="1" applyAlignment="1">
      <alignment vertical="center"/>
    </xf>
    <xf numFmtId="9" fontId="5" fillId="2" borderId="3" xfId="1" applyFont="1" applyFill="1" applyBorder="1" applyAlignment="1">
      <alignment horizontal="right" vertic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2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7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right" vertical="top" wrapText="1"/>
    </xf>
    <xf numFmtId="0" fontId="12" fillId="7" borderId="0" xfId="0" applyFont="1" applyFill="1" applyBorder="1" applyAlignment="1">
      <alignment horizontal="center" vertical="top" wrapText="1"/>
    </xf>
    <xf numFmtId="0" fontId="13" fillId="7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right" vertical="top" wrapText="1"/>
    </xf>
    <xf numFmtId="0" fontId="13" fillId="7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right" vertical="top" wrapText="1"/>
    </xf>
    <xf numFmtId="0" fontId="15" fillId="7" borderId="0" xfId="0" applyFont="1" applyFill="1" applyBorder="1" applyAlignment="1">
      <alignment horizontal="left" wrapText="1"/>
    </xf>
    <xf numFmtId="0" fontId="11" fillId="7" borderId="0" xfId="0" applyFont="1" applyFill="1" applyBorder="1" applyAlignment="1">
      <alignment horizontal="right" vertical="top" wrapText="1"/>
    </xf>
    <xf numFmtId="0" fontId="5" fillId="6" borderId="0" xfId="0" applyFont="1" applyFill="1"/>
    <xf numFmtId="0" fontId="5" fillId="6" borderId="0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/>
    </xf>
    <xf numFmtId="0" fontId="8" fillId="5" borderId="7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9" fillId="5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left" vertical="top" wrapText="1"/>
    </xf>
    <xf numFmtId="0" fontId="5" fillId="11" borderId="0" xfId="0" applyFont="1" applyFill="1"/>
    <xf numFmtId="0" fontId="8" fillId="11" borderId="0" xfId="0" applyFont="1" applyFill="1" applyBorder="1" applyAlignment="1">
      <alignment horizontal="left" vertical="top" wrapText="1"/>
    </xf>
    <xf numFmtId="0" fontId="5" fillId="11" borderId="0" xfId="0" applyFont="1" applyFill="1" applyAlignment="1">
      <alignment vertical="center"/>
    </xf>
    <xf numFmtId="0" fontId="22" fillId="2" borderId="0" xfId="0" applyFont="1" applyFill="1"/>
    <xf numFmtId="0" fontId="18" fillId="12" borderId="0" xfId="0" applyFont="1" applyFill="1"/>
    <xf numFmtId="0" fontId="5" fillId="12" borderId="0" xfId="0" applyFont="1" applyFill="1"/>
    <xf numFmtId="0" fontId="5" fillId="12" borderId="0" xfId="0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right" vertical="top"/>
    </xf>
    <xf numFmtId="0" fontId="8" fillId="9" borderId="1" xfId="0" applyFont="1" applyFill="1" applyBorder="1" applyAlignment="1">
      <alignment vertical="top"/>
    </xf>
    <xf numFmtId="0" fontId="18" fillId="11" borderId="0" xfId="0" applyFont="1" applyFill="1"/>
    <xf numFmtId="0" fontId="23" fillId="2" borderId="0" xfId="0" applyFont="1" applyFill="1"/>
    <xf numFmtId="0" fontId="0" fillId="11" borderId="0" xfId="0" applyFill="1"/>
    <xf numFmtId="0" fontId="5" fillId="14" borderId="0" xfId="0" applyFont="1" applyFill="1"/>
    <xf numFmtId="0" fontId="22" fillId="14" borderId="0" xfId="0" applyFont="1" applyFill="1"/>
    <xf numFmtId="0" fontId="5" fillId="2" borderId="10" xfId="0" applyFont="1" applyFill="1" applyBorder="1"/>
    <xf numFmtId="0" fontId="5" fillId="2" borderId="14" xfId="0" applyFont="1" applyFill="1" applyBorder="1"/>
    <xf numFmtId="0" fontId="5" fillId="2" borderId="21" xfId="0" applyFont="1" applyFill="1" applyBorder="1"/>
    <xf numFmtId="0" fontId="22" fillId="2" borderId="0" xfId="0" applyFont="1" applyFill="1" applyBorder="1"/>
    <xf numFmtId="0" fontId="22" fillId="2" borderId="21" xfId="0" applyFont="1" applyFill="1" applyBorder="1"/>
    <xf numFmtId="0" fontId="5" fillId="2" borderId="13" xfId="0" quotePrefix="1" applyFont="1" applyFill="1" applyBorder="1" applyAlignment="1">
      <alignment vertical="center"/>
    </xf>
    <xf numFmtId="0" fontId="7" fillId="2" borderId="0" xfId="0" applyFont="1" applyFill="1" applyBorder="1"/>
    <xf numFmtId="0" fontId="5" fillId="2" borderId="13" xfId="0" applyFont="1" applyFill="1" applyBorder="1" applyAlignment="1">
      <alignment vertical="center"/>
    </xf>
    <xf numFmtId="0" fontId="5" fillId="2" borderId="0" xfId="0" quotePrefix="1" applyFont="1" applyFill="1" applyBorder="1" applyAlignment="1">
      <alignment vertical="center"/>
    </xf>
    <xf numFmtId="9" fontId="5" fillId="2" borderId="22" xfId="0" applyNumberFormat="1" applyFont="1" applyFill="1" applyBorder="1" applyAlignment="1">
      <alignment horizontal="right" vertical="center"/>
    </xf>
    <xf numFmtId="9" fontId="5" fillId="2" borderId="23" xfId="0" applyNumberFormat="1" applyFont="1" applyFill="1" applyBorder="1" applyAlignment="1">
      <alignment horizontal="right" vertical="center"/>
    </xf>
    <xf numFmtId="0" fontId="5" fillId="2" borderId="24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25" xfId="0" applyFont="1" applyFill="1" applyBorder="1"/>
    <xf numFmtId="0" fontId="7" fillId="2" borderId="12" xfId="0" applyFont="1" applyFill="1" applyBorder="1"/>
    <xf numFmtId="0" fontId="24" fillId="4" borderId="0" xfId="0" applyFont="1" applyFill="1" applyBorder="1" applyProtection="1">
      <protection locked="0"/>
    </xf>
    <xf numFmtId="0" fontId="28" fillId="4" borderId="0" xfId="0" applyFont="1" applyFill="1" applyBorder="1" applyProtection="1">
      <protection locked="0"/>
    </xf>
    <xf numFmtId="0" fontId="28" fillId="13" borderId="0" xfId="0" applyFont="1" applyFill="1" applyProtection="1">
      <protection locked="0"/>
    </xf>
    <xf numFmtId="0" fontId="25" fillId="13" borderId="0" xfId="0" applyNumberFormat="1" applyFont="1" applyFill="1" applyBorder="1" applyAlignment="1" applyProtection="1">
      <alignment horizontal="center"/>
      <protection locked="0"/>
    </xf>
    <xf numFmtId="0" fontId="25" fillId="13" borderId="0" xfId="2" applyNumberFormat="1" applyFont="1" applyFill="1" applyBorder="1" applyAlignment="1" applyProtection="1">
      <alignment horizontal="center"/>
      <protection locked="0"/>
    </xf>
    <xf numFmtId="0" fontId="30" fillId="13" borderId="0" xfId="2" applyNumberFormat="1" applyFont="1" applyFill="1" applyBorder="1" applyAlignment="1" applyProtection="1">
      <alignment horizontal="center"/>
      <protection locked="0"/>
    </xf>
    <xf numFmtId="0" fontId="25" fillId="13" borderId="0" xfId="0" applyFont="1" applyFill="1" applyBorder="1" applyAlignment="1" applyProtection="1">
      <alignment horizontal="center"/>
      <protection locked="0"/>
    </xf>
    <xf numFmtId="0" fontId="27" fillId="13" borderId="0" xfId="0" applyFont="1" applyFill="1" applyBorder="1" applyProtection="1">
      <protection locked="0"/>
    </xf>
    <xf numFmtId="0" fontId="28" fillId="13" borderId="0" xfId="0" applyFont="1" applyFill="1" applyBorder="1" applyProtection="1">
      <protection locked="0"/>
    </xf>
    <xf numFmtId="0" fontId="24" fillId="13" borderId="0" xfId="0" applyFont="1" applyFill="1" applyProtection="1">
      <protection locked="0"/>
    </xf>
    <xf numFmtId="0" fontId="24" fillId="13" borderId="0" xfId="0" applyFont="1" applyFill="1" applyBorder="1" applyProtection="1">
      <protection locked="0"/>
    </xf>
    <xf numFmtId="0" fontId="28" fillId="13" borderId="8" xfId="0" applyFont="1" applyFill="1" applyBorder="1" applyProtection="1">
      <protection locked="0"/>
    </xf>
    <xf numFmtId="0" fontId="39" fillId="13" borderId="0" xfId="0" applyFont="1" applyFill="1" applyProtection="1">
      <protection locked="0"/>
    </xf>
    <xf numFmtId="0" fontId="36" fillId="13" borderId="0" xfId="0" applyFont="1" applyFill="1" applyBorder="1" applyProtection="1">
      <protection locked="0"/>
    </xf>
    <xf numFmtId="0" fontId="39" fillId="13" borderId="0" xfId="0" applyFont="1" applyFill="1" applyBorder="1" applyProtection="1">
      <protection locked="0"/>
    </xf>
    <xf numFmtId="0" fontId="36" fillId="13" borderId="0" xfId="0" applyFont="1" applyFill="1" applyProtection="1">
      <protection locked="0"/>
    </xf>
    <xf numFmtId="0" fontId="24" fillId="15" borderId="0" xfId="0" applyFont="1" applyFill="1" applyBorder="1" applyProtection="1">
      <protection locked="0"/>
    </xf>
    <xf numFmtId="0" fontId="49" fillId="15" borderId="0" xfId="2" applyNumberFormat="1" applyFont="1" applyFill="1" applyBorder="1" applyAlignment="1" applyProtection="1">
      <alignment horizontal="center"/>
      <protection locked="0"/>
    </xf>
    <xf numFmtId="0" fontId="49" fillId="15" borderId="0" xfId="0" applyNumberFormat="1" applyFont="1" applyFill="1" applyBorder="1" applyAlignment="1" applyProtection="1">
      <alignment horizontal="center"/>
      <protection locked="0"/>
    </xf>
    <xf numFmtId="0" fontId="49" fillId="15" borderId="0" xfId="0" applyFont="1" applyFill="1" applyBorder="1" applyAlignment="1" applyProtection="1">
      <alignment horizontal="center"/>
      <protection locked="0"/>
    </xf>
    <xf numFmtId="0" fontId="28" fillId="15" borderId="0" xfId="0" applyFont="1" applyFill="1" applyBorder="1" applyProtection="1">
      <protection locked="0"/>
    </xf>
    <xf numFmtId="0" fontId="45" fillId="15" borderId="0" xfId="0" applyNumberFormat="1" applyFont="1" applyFill="1" applyBorder="1" applyAlignment="1" applyProtection="1">
      <alignment horizontal="center"/>
      <protection locked="0"/>
    </xf>
    <xf numFmtId="0" fontId="45" fillId="15" borderId="0" xfId="0" quotePrefix="1" applyNumberFormat="1" applyFont="1" applyFill="1" applyBorder="1" applyAlignment="1" applyProtection="1">
      <alignment horizontal="center"/>
      <protection locked="0"/>
    </xf>
    <xf numFmtId="0" fontId="37" fillId="15" borderId="0" xfId="2" applyNumberFormat="1" applyFont="1" applyFill="1" applyBorder="1" applyAlignment="1" applyProtection="1">
      <alignment horizontal="center"/>
      <protection locked="0"/>
    </xf>
    <xf numFmtId="0" fontId="45" fillId="15" borderId="0" xfId="0" applyNumberFormat="1" applyFont="1" applyFill="1" applyBorder="1" applyAlignment="1" applyProtection="1">
      <alignment horizontal="right"/>
      <protection locked="0"/>
    </xf>
    <xf numFmtId="0" fontId="45" fillId="15" borderId="0" xfId="0" applyNumberFormat="1" applyFont="1" applyFill="1" applyBorder="1" applyAlignment="1" applyProtection="1">
      <alignment horizontal="left"/>
      <protection locked="0"/>
    </xf>
    <xf numFmtId="0" fontId="25" fillId="15" borderId="0" xfId="0" applyNumberFormat="1" applyFont="1" applyFill="1" applyBorder="1" applyAlignment="1" applyProtection="1">
      <alignment horizontal="center"/>
      <protection locked="0"/>
    </xf>
    <xf numFmtId="0" fontId="25" fillId="15" borderId="0" xfId="0" applyFont="1" applyFill="1" applyBorder="1" applyAlignment="1" applyProtection="1">
      <alignment horizontal="center"/>
      <protection locked="0"/>
    </xf>
    <xf numFmtId="0" fontId="46" fillId="15" borderId="0" xfId="0" applyFont="1" applyFill="1" applyBorder="1" applyProtection="1">
      <protection locked="0"/>
    </xf>
    <xf numFmtId="0" fontId="47" fillId="15" borderId="0" xfId="2" quotePrefix="1" applyNumberFormat="1" applyFont="1" applyFill="1" applyBorder="1" applyAlignment="1" applyProtection="1">
      <alignment horizontal="center"/>
      <protection locked="0"/>
    </xf>
    <xf numFmtId="0" fontId="48" fillId="15" borderId="0" xfId="2" quotePrefix="1" applyNumberFormat="1" applyFont="1" applyFill="1" applyBorder="1" applyAlignment="1" applyProtection="1">
      <alignment horizontal="center"/>
      <protection locked="0"/>
    </xf>
    <xf numFmtId="0" fontId="29" fillId="15" borderId="0" xfId="0" applyFont="1" applyFill="1" applyBorder="1" applyAlignment="1" applyProtection="1">
      <alignment horizontal="center"/>
      <protection locked="0"/>
    </xf>
    <xf numFmtId="0" fontId="33" fillId="15" borderId="0" xfId="2" applyNumberFormat="1" applyFont="1" applyFill="1" applyBorder="1" applyAlignment="1" applyProtection="1">
      <alignment horizontal="center"/>
      <protection locked="0"/>
    </xf>
    <xf numFmtId="0" fontId="32" fillId="15" borderId="0" xfId="2" applyNumberFormat="1" applyFont="1" applyFill="1" applyBorder="1" applyAlignment="1" applyProtection="1">
      <alignment horizontal="center"/>
      <protection locked="0"/>
    </xf>
    <xf numFmtId="0" fontId="31" fillId="15" borderId="0" xfId="2" applyNumberFormat="1" applyFont="1" applyFill="1" applyBorder="1" applyAlignment="1" applyProtection="1">
      <alignment horizontal="center"/>
      <protection locked="0"/>
    </xf>
    <xf numFmtId="0" fontId="26" fillId="15" borderId="0" xfId="0" applyNumberFormat="1" applyFont="1" applyFill="1" applyBorder="1" applyAlignment="1" applyProtection="1">
      <protection locked="0"/>
    </xf>
    <xf numFmtId="0" fontId="25" fillId="15" borderId="0" xfId="2" applyNumberFormat="1" applyFont="1" applyFill="1" applyBorder="1" applyAlignment="1" applyProtection="1">
      <alignment horizontal="center"/>
      <protection locked="0"/>
    </xf>
    <xf numFmtId="0" fontId="45" fillId="15" borderId="0" xfId="2" applyNumberFormat="1" applyFont="1" applyFill="1" applyBorder="1" applyAlignment="1" applyProtection="1">
      <alignment horizontal="center"/>
      <protection locked="0"/>
    </xf>
    <xf numFmtId="0" fontId="26" fillId="15" borderId="0" xfId="2" applyNumberFormat="1" applyFont="1" applyFill="1" applyBorder="1" applyAlignment="1" applyProtection="1">
      <alignment horizontal="center"/>
      <protection locked="0"/>
    </xf>
    <xf numFmtId="0" fontId="26" fillId="15" borderId="0" xfId="0" applyNumberFormat="1" applyFont="1" applyFill="1" applyBorder="1" applyAlignment="1" applyProtection="1">
      <alignment horizontal="center"/>
      <protection locked="0"/>
    </xf>
    <xf numFmtId="0" fontId="42" fillId="15" borderId="0" xfId="2" applyNumberFormat="1" applyFont="1" applyFill="1" applyBorder="1" applyAlignment="1" applyProtection="1">
      <alignment horizontal="right"/>
      <protection locked="0"/>
    </xf>
    <xf numFmtId="0" fontId="42" fillId="15" borderId="0" xfId="0" applyNumberFormat="1" applyFont="1" applyFill="1" applyBorder="1" applyAlignment="1" applyProtection="1">
      <alignment horizontal="center"/>
      <protection locked="0"/>
    </xf>
    <xf numFmtId="0" fontId="37" fillId="15" borderId="0" xfId="0" applyNumberFormat="1" applyFont="1" applyFill="1" applyBorder="1" applyAlignment="1" applyProtection="1">
      <alignment horizontal="center"/>
      <protection locked="0"/>
    </xf>
    <xf numFmtId="0" fontId="25" fillId="15" borderId="0" xfId="0" applyNumberFormat="1" applyFont="1" applyFill="1" applyBorder="1" applyAlignment="1" applyProtection="1">
      <alignment horizontal="left"/>
      <protection locked="0"/>
    </xf>
    <xf numFmtId="0" fontId="38" fillId="15" borderId="0" xfId="0" applyNumberFormat="1" applyFont="1" applyFill="1" applyBorder="1" applyAlignment="1" applyProtection="1">
      <alignment horizontal="center"/>
      <protection locked="0"/>
    </xf>
    <xf numFmtId="0" fontId="40" fillId="15" borderId="0" xfId="0" applyNumberFormat="1" applyFont="1" applyFill="1" applyBorder="1" applyAlignment="1" applyProtection="1">
      <alignment horizontal="center"/>
      <protection locked="0"/>
    </xf>
    <xf numFmtId="0" fontId="30" fillId="15" borderId="0" xfId="2" applyNumberFormat="1" applyFont="1" applyFill="1" applyBorder="1" applyAlignment="1" applyProtection="1">
      <alignment horizontal="center"/>
      <protection locked="0"/>
    </xf>
    <xf numFmtId="0" fontId="50" fillId="15" borderId="0" xfId="2" applyNumberFormat="1" applyFont="1" applyFill="1" applyBorder="1" applyAlignment="1" applyProtection="1">
      <alignment horizontal="center"/>
      <protection locked="0"/>
    </xf>
    <xf numFmtId="0" fontId="50" fillId="15" borderId="0" xfId="0" applyNumberFormat="1" applyFont="1" applyFill="1" applyBorder="1" applyAlignment="1" applyProtection="1">
      <alignment horizontal="left"/>
      <protection locked="0"/>
    </xf>
    <xf numFmtId="0" fontId="50" fillId="15" borderId="0" xfId="0" applyNumberFormat="1" applyFont="1" applyFill="1" applyBorder="1" applyAlignment="1" applyProtection="1">
      <alignment horizontal="center"/>
      <protection locked="0"/>
    </xf>
    <xf numFmtId="0" fontId="50" fillId="15" borderId="0" xfId="0" applyFont="1" applyFill="1" applyBorder="1" applyAlignment="1" applyProtection="1">
      <alignment horizontal="center"/>
      <protection locked="0"/>
    </xf>
    <xf numFmtId="0" fontId="50" fillId="15" borderId="0" xfId="2" applyNumberFormat="1" applyFont="1" applyFill="1" applyBorder="1" applyAlignment="1" applyProtection="1">
      <alignment horizontal="left"/>
      <protection locked="0"/>
    </xf>
    <xf numFmtId="0" fontId="51" fillId="15" borderId="0" xfId="0" applyFont="1" applyFill="1" applyBorder="1" applyProtection="1">
      <protection locked="0"/>
    </xf>
    <xf numFmtId="0" fontId="45" fillId="15" borderId="0" xfId="0" quotePrefix="1" applyNumberFormat="1" applyFont="1" applyFill="1" applyBorder="1" applyAlignment="1" applyProtection="1">
      <alignment horizontal="left"/>
      <protection locked="0"/>
    </xf>
    <xf numFmtId="0" fontId="25" fillId="15" borderId="0" xfId="0" applyNumberFormat="1" applyFont="1" applyFill="1" applyBorder="1" applyAlignment="1" applyProtection="1">
      <alignment horizontal="right"/>
      <protection locked="0"/>
    </xf>
    <xf numFmtId="0" fontId="42" fillId="15" borderId="4" xfId="2" applyNumberFormat="1" applyFont="1" applyFill="1" applyBorder="1" applyAlignment="1" applyProtection="1">
      <alignment horizontal="right"/>
      <protection locked="0"/>
    </xf>
    <xf numFmtId="0" fontId="42" fillId="15" borderId="16" xfId="2" applyNumberFormat="1" applyFont="1" applyFill="1" applyBorder="1" applyAlignment="1" applyProtection="1">
      <alignment horizontal="center"/>
      <protection locked="0"/>
    </xf>
    <xf numFmtId="0" fontId="42" fillId="15" borderId="16" xfId="2" applyNumberFormat="1" applyFont="1" applyFill="1" applyBorder="1" applyAlignment="1" applyProtection="1">
      <alignment horizontal="left"/>
      <protection locked="0"/>
    </xf>
    <xf numFmtId="0" fontId="48" fillId="15" borderId="16" xfId="2" applyNumberFormat="1" applyFont="1" applyFill="1" applyBorder="1" applyAlignment="1" applyProtection="1">
      <alignment horizontal="center"/>
      <protection locked="0"/>
    </xf>
    <xf numFmtId="0" fontId="52" fillId="15" borderId="16" xfId="2" applyNumberFormat="1" applyFont="1" applyFill="1" applyBorder="1" applyAlignment="1" applyProtection="1">
      <alignment horizontal="right"/>
      <protection locked="0"/>
    </xf>
    <xf numFmtId="0" fontId="52" fillId="15" borderId="16" xfId="0" applyNumberFormat="1" applyFont="1" applyFill="1" applyBorder="1" applyAlignment="1" applyProtection="1">
      <alignment horizontal="center"/>
      <protection locked="0"/>
    </xf>
    <xf numFmtId="0" fontId="52" fillId="15" borderId="16" xfId="0" applyNumberFormat="1" applyFont="1" applyFill="1" applyBorder="1" applyAlignment="1" applyProtection="1">
      <alignment horizontal="left"/>
      <protection locked="0"/>
    </xf>
    <xf numFmtId="0" fontId="25" fillId="15" borderId="16" xfId="0" applyNumberFormat="1" applyFont="1" applyFill="1" applyBorder="1" applyAlignment="1" applyProtection="1">
      <alignment horizontal="center"/>
      <protection locked="0"/>
    </xf>
    <xf numFmtId="0" fontId="29" fillId="15" borderId="5" xfId="0" applyFont="1" applyFill="1" applyBorder="1" applyAlignment="1" applyProtection="1">
      <alignment horizontal="center"/>
      <protection locked="0"/>
    </xf>
    <xf numFmtId="0" fontId="42" fillId="15" borderId="4" xfId="0" applyNumberFormat="1" applyFont="1" applyFill="1" applyBorder="1" applyAlignment="1" applyProtection="1">
      <alignment horizontal="center"/>
      <protection locked="0"/>
    </xf>
    <xf numFmtId="0" fontId="42" fillId="15" borderId="16" xfId="2" applyNumberFormat="1" applyFont="1" applyFill="1" applyBorder="1" applyAlignment="1" applyProtection="1">
      <alignment horizontal="right"/>
      <protection locked="0"/>
    </xf>
    <xf numFmtId="0" fontId="42" fillId="15" borderId="16" xfId="0" applyNumberFormat="1" applyFont="1" applyFill="1" applyBorder="1" applyAlignment="1" applyProtection="1">
      <alignment horizontal="left"/>
      <protection locked="0"/>
    </xf>
    <xf numFmtId="0" fontId="35" fillId="15" borderId="16" xfId="0" applyNumberFormat="1" applyFont="1" applyFill="1" applyBorder="1" applyAlignment="1" applyProtection="1">
      <alignment horizontal="left"/>
      <protection locked="0"/>
    </xf>
    <xf numFmtId="0" fontId="25" fillId="15" borderId="5" xfId="0" applyFont="1" applyFill="1" applyBorder="1" applyAlignment="1" applyProtection="1">
      <alignment horizontal="center"/>
      <protection locked="0"/>
    </xf>
    <xf numFmtId="0" fontId="37" fillId="15" borderId="30" xfId="0" applyNumberFormat="1" applyFont="1" applyFill="1" applyBorder="1" applyAlignment="1" applyProtection="1">
      <alignment horizontal="center"/>
      <protection locked="0"/>
    </xf>
    <xf numFmtId="0" fontId="38" fillId="15" borderId="28" xfId="0" applyNumberFormat="1" applyFont="1" applyFill="1" applyBorder="1" applyAlignment="1" applyProtection="1">
      <alignment horizontal="right"/>
      <protection locked="0"/>
    </xf>
    <xf numFmtId="0" fontId="37" fillId="15" borderId="28" xfId="2" applyNumberFormat="1" applyFont="1" applyFill="1" applyBorder="1" applyAlignment="1" applyProtection="1">
      <alignment horizontal="right"/>
      <protection locked="0"/>
    </xf>
    <xf numFmtId="0" fontId="39" fillId="15" borderId="28" xfId="0" applyFont="1" applyFill="1" applyBorder="1" applyProtection="1">
      <protection locked="0"/>
    </xf>
    <xf numFmtId="0" fontId="52" fillId="15" borderId="28" xfId="2" applyNumberFormat="1" applyFont="1" applyFill="1" applyBorder="1" applyAlignment="1" applyProtection="1">
      <alignment horizontal="right"/>
      <protection locked="0"/>
    </xf>
    <xf numFmtId="0" fontId="25" fillId="15" borderId="28" xfId="0" applyNumberFormat="1" applyFont="1" applyFill="1" applyBorder="1" applyAlignment="1" applyProtection="1">
      <alignment horizontal="center"/>
      <protection locked="0"/>
    </xf>
    <xf numFmtId="0" fontId="35" fillId="15" borderId="31" xfId="0" applyFont="1" applyFill="1" applyBorder="1" applyAlignment="1" applyProtection="1">
      <alignment horizontal="left"/>
      <protection locked="0"/>
    </xf>
    <xf numFmtId="0" fontId="37" fillId="15" borderId="27" xfId="0" applyNumberFormat="1" applyFont="1" applyFill="1" applyBorder="1" applyAlignment="1" applyProtection="1">
      <alignment horizontal="center"/>
      <protection locked="0"/>
    </xf>
    <xf numFmtId="0" fontId="35" fillId="15" borderId="32" xfId="0" applyFont="1" applyFill="1" applyBorder="1" applyAlignment="1" applyProtection="1">
      <alignment horizontal="left"/>
      <protection locked="0"/>
    </xf>
    <xf numFmtId="0" fontId="37" fillId="15" borderId="33" xfId="0" applyNumberFormat="1" applyFont="1" applyFill="1" applyBorder="1" applyAlignment="1" applyProtection="1">
      <alignment horizontal="center"/>
      <protection locked="0"/>
    </xf>
    <xf numFmtId="0" fontId="37" fillId="15" borderId="29" xfId="0" applyNumberFormat="1" applyFont="1" applyFill="1" applyBorder="1" applyAlignment="1" applyProtection="1">
      <alignment horizontal="center"/>
      <protection locked="0"/>
    </xf>
    <xf numFmtId="0" fontId="42" fillId="15" borderId="29" xfId="0" applyNumberFormat="1" applyFont="1" applyFill="1" applyBorder="1" applyAlignment="1" applyProtection="1">
      <alignment horizontal="center"/>
      <protection locked="0"/>
    </xf>
    <xf numFmtId="0" fontId="54" fillId="15" borderId="29" xfId="0" applyNumberFormat="1" applyFont="1" applyFill="1" applyBorder="1" applyAlignment="1" applyProtection="1">
      <alignment horizontal="right"/>
      <protection locked="0"/>
    </xf>
    <xf numFmtId="0" fontId="25" fillId="15" borderId="29" xfId="0" applyNumberFormat="1" applyFont="1" applyFill="1" applyBorder="1" applyAlignment="1" applyProtection="1">
      <alignment horizontal="center"/>
      <protection locked="0"/>
    </xf>
    <xf numFmtId="0" fontId="29" fillId="15" borderId="34" xfId="0" applyFont="1" applyFill="1" applyBorder="1" applyAlignment="1" applyProtection="1">
      <alignment horizontal="center"/>
      <protection locked="0"/>
    </xf>
    <xf numFmtId="0" fontId="51" fillId="4" borderId="0" xfId="0" applyFont="1" applyFill="1" applyProtection="1">
      <protection locked="0"/>
    </xf>
    <xf numFmtId="0" fontId="50" fillId="4" borderId="0" xfId="0" applyNumberFormat="1" applyFont="1" applyFill="1" applyBorder="1" applyAlignment="1" applyProtection="1">
      <alignment horizontal="center"/>
      <protection locked="0"/>
    </xf>
    <xf numFmtId="0" fontId="50" fillId="4" borderId="0" xfId="0" applyFont="1" applyFill="1" applyBorder="1" applyAlignment="1" applyProtection="1">
      <alignment horizontal="center"/>
      <protection locked="0"/>
    </xf>
    <xf numFmtId="0" fontId="50" fillId="4" borderId="0" xfId="0" applyFont="1" applyFill="1" applyBorder="1" applyProtection="1">
      <protection locked="0"/>
    </xf>
    <xf numFmtId="0" fontId="51" fillId="4" borderId="0" xfId="0" applyFont="1" applyFill="1" applyBorder="1" applyProtection="1">
      <protection locked="0"/>
    </xf>
    <xf numFmtId="0" fontId="24" fillId="4" borderId="0" xfId="0" applyFont="1" applyFill="1" applyProtection="1">
      <protection locked="0"/>
    </xf>
    <xf numFmtId="0" fontId="27" fillId="4" borderId="0" xfId="0" applyFont="1" applyFill="1" applyBorder="1" applyProtection="1">
      <protection locked="0"/>
    </xf>
    <xf numFmtId="0" fontId="28" fillId="4" borderId="0" xfId="0" applyFont="1" applyFill="1" applyProtection="1">
      <protection locked="0"/>
    </xf>
    <xf numFmtId="0" fontId="34" fillId="4" borderId="0" xfId="2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Border="1" applyAlignment="1" applyProtection="1">
      <alignment horizontal="left"/>
      <protection locked="0"/>
    </xf>
    <xf numFmtId="0" fontId="39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26" fillId="4" borderId="0" xfId="0" applyFont="1" applyFill="1" applyBorder="1" applyProtection="1">
      <protection locked="0"/>
    </xf>
    <xf numFmtId="0" fontId="25" fillId="4" borderId="0" xfId="0" applyFont="1" applyFill="1" applyBorder="1" applyProtection="1">
      <protection locked="0"/>
    </xf>
    <xf numFmtId="0" fontId="36" fillId="4" borderId="0" xfId="0" applyFont="1" applyFill="1" applyBorder="1" applyProtection="1">
      <protection locked="0"/>
    </xf>
    <xf numFmtId="0" fontId="41" fillId="15" borderId="0" xfId="0" applyFont="1" applyFill="1" applyBorder="1" applyAlignment="1" applyProtection="1">
      <alignment horizontal="center"/>
      <protection locked="0"/>
    </xf>
    <xf numFmtId="0" fontId="58" fillId="4" borderId="0" xfId="0" applyFont="1" applyFill="1" applyProtection="1">
      <protection locked="0"/>
    </xf>
    <xf numFmtId="0" fontId="59" fillId="15" borderId="0" xfId="0" applyNumberFormat="1" applyFont="1" applyFill="1" applyBorder="1" applyAlignment="1" applyProtection="1">
      <alignment horizontal="center"/>
      <protection locked="0"/>
    </xf>
    <xf numFmtId="0" fontId="59" fillId="15" borderId="0" xfId="0" applyNumberFormat="1" applyFont="1" applyFill="1" applyBorder="1" applyAlignment="1" applyProtection="1">
      <alignment horizontal="right"/>
      <protection locked="0"/>
    </xf>
    <xf numFmtId="0" fontId="59" fillId="15" borderId="0" xfId="2" applyNumberFormat="1" applyFont="1" applyFill="1" applyBorder="1" applyAlignment="1" applyProtection="1">
      <alignment horizontal="left"/>
      <protection locked="0"/>
    </xf>
    <xf numFmtId="0" fontId="59" fillId="15" borderId="0" xfId="2" applyNumberFormat="1" applyFont="1" applyFill="1" applyBorder="1" applyAlignment="1" applyProtection="1">
      <alignment horizontal="center"/>
      <protection locked="0"/>
    </xf>
    <xf numFmtId="0" fontId="60" fillId="15" borderId="0" xfId="2" applyNumberFormat="1" applyFont="1" applyFill="1" applyBorder="1" applyAlignment="1" applyProtection="1">
      <protection locked="0"/>
    </xf>
    <xf numFmtId="0" fontId="58" fillId="15" borderId="0" xfId="0" applyFont="1" applyFill="1" applyBorder="1" applyProtection="1">
      <protection locked="0"/>
    </xf>
    <xf numFmtId="0" fontId="60" fillId="15" borderId="0" xfId="0" applyNumberFormat="1" applyFont="1" applyFill="1" applyBorder="1" applyAlignment="1" applyProtection="1">
      <alignment horizontal="center"/>
      <protection locked="0"/>
    </xf>
    <xf numFmtId="0" fontId="60" fillId="15" borderId="0" xfId="0" applyFont="1" applyFill="1" applyBorder="1" applyAlignment="1" applyProtection="1">
      <alignment horizontal="center"/>
      <protection locked="0"/>
    </xf>
    <xf numFmtId="0" fontId="60" fillId="4" borderId="0" xfId="0" applyFont="1" applyFill="1" applyBorder="1" applyProtection="1">
      <protection locked="0"/>
    </xf>
    <xf numFmtId="0" fontId="58" fillId="4" borderId="0" xfId="0" applyFont="1" applyFill="1" applyBorder="1" applyProtection="1">
      <protection locked="0"/>
    </xf>
    <xf numFmtId="0" fontId="58" fillId="13" borderId="0" xfId="0" applyFont="1" applyFill="1" applyBorder="1" applyProtection="1">
      <protection locked="0"/>
    </xf>
    <xf numFmtId="0" fontId="58" fillId="13" borderId="0" xfId="0" applyFont="1" applyFill="1" applyProtection="1">
      <protection locked="0"/>
    </xf>
    <xf numFmtId="0" fontId="60" fillId="15" borderId="0" xfId="2" applyNumberFormat="1" applyFont="1" applyFill="1" applyBorder="1" applyAlignment="1" applyProtection="1">
      <alignment horizontal="left"/>
      <protection locked="0"/>
    </xf>
    <xf numFmtId="0" fontId="60" fillId="15" borderId="0" xfId="0" applyNumberFormat="1" applyFont="1" applyFill="1" applyBorder="1" applyAlignment="1" applyProtection="1">
      <alignment horizontal="left"/>
      <protection locked="0"/>
    </xf>
    <xf numFmtId="0" fontId="50" fillId="15" borderId="0" xfId="2" applyNumberFormat="1" applyFont="1" applyFill="1" applyBorder="1" applyAlignment="1" applyProtection="1">
      <protection locked="0"/>
    </xf>
    <xf numFmtId="0" fontId="0" fillId="4" borderId="0" xfId="0" applyFill="1"/>
    <xf numFmtId="0" fontId="0" fillId="8" borderId="0" xfId="0" applyFill="1"/>
    <xf numFmtId="0" fontId="68" fillId="8" borderId="0" xfId="0" applyFont="1" applyFill="1"/>
    <xf numFmtId="0" fontId="61" fillId="10" borderId="12" xfId="0" applyFont="1" applyFill="1" applyBorder="1" applyProtection="1">
      <protection locked="0"/>
    </xf>
    <xf numFmtId="0" fontId="61" fillId="10" borderId="0" xfId="0" applyFont="1" applyFill="1" applyBorder="1" applyProtection="1">
      <protection locked="0"/>
    </xf>
    <xf numFmtId="0" fontId="61" fillId="10" borderId="10" xfId="0" applyFont="1" applyFill="1" applyBorder="1" applyProtection="1">
      <protection locked="0"/>
    </xf>
    <xf numFmtId="0" fontId="65" fillId="10" borderId="13" xfId="0" applyFont="1" applyFill="1" applyBorder="1" applyProtection="1">
      <protection locked="0"/>
    </xf>
    <xf numFmtId="0" fontId="65" fillId="10" borderId="0" xfId="0" applyFont="1" applyFill="1" applyBorder="1" applyProtection="1">
      <protection locked="0"/>
    </xf>
    <xf numFmtId="0" fontId="67" fillId="10" borderId="0" xfId="0" applyFont="1" applyFill="1" applyBorder="1" applyProtection="1">
      <protection locked="0"/>
    </xf>
    <xf numFmtId="0" fontId="62" fillId="10" borderId="0" xfId="0" applyFont="1" applyFill="1" applyBorder="1" applyProtection="1">
      <protection locked="0"/>
    </xf>
    <xf numFmtId="0" fontId="63" fillId="10" borderId="13" xfId="0" applyFont="1" applyFill="1" applyBorder="1" applyProtection="1">
      <protection locked="0"/>
    </xf>
    <xf numFmtId="0" fontId="63" fillId="10" borderId="0" xfId="0" applyFont="1" applyFill="1" applyBorder="1" applyProtection="1">
      <protection locked="0"/>
    </xf>
    <xf numFmtId="0" fontId="64" fillId="10" borderId="0" xfId="0" applyFont="1" applyFill="1" applyBorder="1" applyAlignment="1" applyProtection="1">
      <alignment horizontal="right"/>
      <protection locked="0"/>
    </xf>
    <xf numFmtId="0" fontId="67" fillId="10" borderId="13" xfId="0" quotePrefix="1" applyFont="1" applyFill="1" applyBorder="1" applyProtection="1">
      <protection locked="0"/>
    </xf>
    <xf numFmtId="0" fontId="67" fillId="10" borderId="0" xfId="0" quotePrefix="1" applyFont="1" applyFill="1" applyBorder="1" applyProtection="1">
      <protection locked="0"/>
    </xf>
    <xf numFmtId="0" fontId="66" fillId="10" borderId="0" xfId="0" applyFont="1" applyFill="1" applyBorder="1" applyProtection="1">
      <protection locked="0"/>
    </xf>
    <xf numFmtId="0" fontId="72" fillId="10" borderId="0" xfId="0" applyNumberFormat="1" applyFont="1" applyFill="1" applyBorder="1" applyProtection="1">
      <protection locked="0"/>
    </xf>
    <xf numFmtId="4" fontId="66" fillId="10" borderId="0" xfId="0" applyNumberFormat="1" applyFont="1" applyFill="1" applyBorder="1" applyProtection="1">
      <protection locked="0"/>
    </xf>
    <xf numFmtId="4" fontId="66" fillId="10" borderId="0" xfId="0" applyNumberFormat="1" applyFont="1" applyFill="1" applyBorder="1" applyAlignment="1" applyProtection="1">
      <alignment horizontal="center"/>
      <protection locked="0"/>
    </xf>
    <xf numFmtId="0" fontId="66" fillId="10" borderId="0" xfId="0" quotePrefix="1" applyFont="1" applyFill="1" applyBorder="1" applyProtection="1">
      <protection locked="0"/>
    </xf>
    <xf numFmtId="4" fontId="73" fillId="10" borderId="0" xfId="0" applyNumberFormat="1" applyFont="1" applyFill="1" applyBorder="1" applyAlignment="1" applyProtection="1">
      <alignment horizontal="left"/>
      <protection locked="0"/>
    </xf>
    <xf numFmtId="0" fontId="70" fillId="10" borderId="0" xfId="0" quotePrefix="1" applyFont="1" applyFill="1" applyBorder="1" applyProtection="1">
      <protection locked="0"/>
    </xf>
    <xf numFmtId="44" fontId="66" fillId="10" borderId="0" xfId="3" applyFont="1" applyFill="1" applyBorder="1" applyAlignment="1" applyProtection="1">
      <alignment horizontal="right"/>
      <protection locked="0"/>
    </xf>
    <xf numFmtId="0" fontId="67" fillId="10" borderId="11" xfId="0" applyFont="1" applyFill="1" applyBorder="1" applyProtection="1">
      <protection locked="0"/>
    </xf>
    <xf numFmtId="0" fontId="67" fillId="10" borderId="12" xfId="0" applyFont="1" applyFill="1" applyBorder="1" applyProtection="1">
      <protection locked="0"/>
    </xf>
    <xf numFmtId="44" fontId="66" fillId="10" borderId="12" xfId="3" applyFont="1" applyFill="1" applyBorder="1" applyAlignment="1" applyProtection="1">
      <alignment horizontal="right"/>
      <protection locked="0"/>
    </xf>
    <xf numFmtId="0" fontId="61" fillId="11" borderId="0" xfId="0" applyFont="1" applyFill="1" applyBorder="1" applyProtection="1">
      <protection locked="0"/>
    </xf>
    <xf numFmtId="0" fontId="65" fillId="11" borderId="9" xfId="0" applyFont="1" applyFill="1" applyBorder="1" applyProtection="1">
      <protection locked="0"/>
    </xf>
    <xf numFmtId="0" fontId="65" fillId="11" borderId="10" xfId="0" applyFont="1" applyFill="1" applyBorder="1" applyProtection="1">
      <protection locked="0"/>
    </xf>
    <xf numFmtId="0" fontId="65" fillId="11" borderId="0" xfId="0" applyFont="1" applyFill="1" applyBorder="1" applyProtection="1">
      <protection locked="0"/>
    </xf>
    <xf numFmtId="0" fontId="67" fillId="11" borderId="0" xfId="0" applyFont="1" applyFill="1" applyBorder="1" applyProtection="1">
      <protection locked="0"/>
    </xf>
    <xf numFmtId="0" fontId="66" fillId="11" borderId="1" xfId="0" applyFont="1" applyFill="1" applyBorder="1" applyAlignment="1" applyProtection="1">
      <alignment horizontal="right"/>
      <protection locked="0"/>
    </xf>
    <xf numFmtId="0" fontId="66" fillId="11" borderId="0" xfId="0" applyFont="1" applyFill="1" applyBorder="1" applyProtection="1">
      <protection locked="0"/>
    </xf>
    <xf numFmtId="4" fontId="66" fillId="11" borderId="0" xfId="0" applyNumberFormat="1" applyFont="1" applyFill="1" applyBorder="1" applyAlignment="1" applyProtection="1">
      <alignment horizontal="center"/>
      <protection locked="0"/>
    </xf>
    <xf numFmtId="0" fontId="66" fillId="11" borderId="0" xfId="0" quotePrefix="1" applyFont="1" applyFill="1" applyBorder="1" applyProtection="1">
      <protection locked="0"/>
    </xf>
    <xf numFmtId="0" fontId="70" fillId="11" borderId="0" xfId="0" quotePrefix="1" applyFont="1" applyFill="1" applyBorder="1" applyProtection="1">
      <protection locked="0"/>
    </xf>
    <xf numFmtId="0" fontId="65" fillId="11" borderId="2" xfId="0" applyFont="1" applyFill="1" applyBorder="1" applyProtection="1">
      <protection locked="0"/>
    </xf>
    <xf numFmtId="0" fontId="65" fillId="11" borderId="8" xfId="0" applyFont="1" applyFill="1" applyBorder="1" applyProtection="1">
      <protection locked="0"/>
    </xf>
    <xf numFmtId="0" fontId="68" fillId="4" borderId="0" xfId="0" applyFont="1" applyFill="1"/>
    <xf numFmtId="0" fontId="74" fillId="10" borderId="0" xfId="0" applyFont="1" applyFill="1" applyBorder="1" applyProtection="1">
      <protection locked="0"/>
    </xf>
    <xf numFmtId="0" fontId="75" fillId="10" borderId="0" xfId="0" applyFont="1" applyFill="1" applyBorder="1" applyProtection="1">
      <protection locked="0"/>
    </xf>
    <xf numFmtId="0" fontId="3" fillId="10" borderId="0" xfId="0" applyFont="1" applyFill="1" applyBorder="1" applyAlignment="1" applyProtection="1">
      <alignment horizontal="right"/>
      <protection locked="0"/>
    </xf>
    <xf numFmtId="0" fontId="65" fillId="11" borderId="3" xfId="0" applyFont="1" applyFill="1" applyBorder="1" applyProtection="1">
      <protection locked="0"/>
    </xf>
    <xf numFmtId="0" fontId="61" fillId="4" borderId="0" xfId="0" applyFont="1" applyFill="1" applyBorder="1" applyProtection="1">
      <protection locked="0"/>
    </xf>
    <xf numFmtId="0" fontId="62" fillId="4" borderId="0" xfId="0" applyFont="1" applyFill="1" applyBorder="1" applyProtection="1">
      <protection locked="0"/>
    </xf>
    <xf numFmtId="0" fontId="61" fillId="10" borderId="21" xfId="0" applyFont="1" applyFill="1" applyBorder="1" applyProtection="1">
      <protection locked="0"/>
    </xf>
    <xf numFmtId="0" fontId="62" fillId="10" borderId="21" xfId="0" applyFont="1" applyFill="1" applyBorder="1" applyProtection="1">
      <protection locked="0"/>
    </xf>
    <xf numFmtId="0" fontId="63" fillId="10" borderId="21" xfId="0" applyFont="1" applyFill="1" applyBorder="1" applyProtection="1">
      <protection locked="0"/>
    </xf>
    <xf numFmtId="0" fontId="69" fillId="10" borderId="0" xfId="0" applyFont="1" applyFill="1" applyBorder="1" applyProtection="1">
      <protection locked="0"/>
    </xf>
    <xf numFmtId="0" fontId="67" fillId="10" borderId="21" xfId="0" applyFont="1" applyFill="1" applyBorder="1" applyProtection="1">
      <protection locked="0"/>
    </xf>
    <xf numFmtId="0" fontId="67" fillId="10" borderId="13" xfId="0" applyFont="1" applyFill="1" applyBorder="1" applyProtection="1">
      <protection locked="0"/>
    </xf>
    <xf numFmtId="0" fontId="67" fillId="10" borderId="17" xfId="0" applyFont="1" applyFill="1" applyBorder="1" applyProtection="1">
      <protection locked="0"/>
    </xf>
    <xf numFmtId="0" fontId="66" fillId="10" borderId="13" xfId="0" quotePrefix="1" applyFont="1" applyFill="1" applyBorder="1" applyProtection="1">
      <protection locked="0"/>
    </xf>
    <xf numFmtId="4" fontId="67" fillId="10" borderId="0" xfId="0" applyNumberFormat="1" applyFont="1" applyFill="1" applyBorder="1" applyProtection="1">
      <protection locked="0"/>
    </xf>
    <xf numFmtId="0" fontId="74" fillId="10" borderId="0" xfId="0" quotePrefix="1" applyFont="1" applyFill="1" applyBorder="1" applyProtection="1">
      <protection locked="0"/>
    </xf>
    <xf numFmtId="0" fontId="0" fillId="4" borderId="0" xfId="0" applyFill="1" applyBorder="1"/>
    <xf numFmtId="0" fontId="67" fillId="10" borderId="0" xfId="0" applyFont="1" applyFill="1" applyBorder="1" applyAlignment="1" applyProtection="1">
      <alignment horizontal="center"/>
      <protection locked="0"/>
    </xf>
    <xf numFmtId="0" fontId="74" fillId="10" borderId="0" xfId="0" applyFont="1" applyFill="1" applyBorder="1" applyAlignment="1" applyProtection="1">
      <alignment horizontal="center"/>
      <protection locked="0"/>
    </xf>
    <xf numFmtId="4" fontId="70" fillId="11" borderId="0" xfId="0" applyNumberFormat="1" applyFont="1" applyFill="1" applyBorder="1" applyProtection="1">
      <protection locked="0"/>
    </xf>
    <xf numFmtId="3" fontId="70" fillId="11" borderId="0" xfId="0" applyNumberFormat="1" applyFont="1" applyFill="1" applyBorder="1" applyAlignment="1" applyProtection="1">
      <alignment horizontal="center"/>
      <protection locked="0"/>
    </xf>
    <xf numFmtId="0" fontId="74" fillId="11" borderId="0" xfId="0" applyFont="1" applyFill="1" applyBorder="1" applyProtection="1">
      <protection locked="0"/>
    </xf>
    <xf numFmtId="0" fontId="70" fillId="10" borderId="0" xfId="0" applyFont="1" applyFill="1" applyBorder="1" applyProtection="1">
      <protection locked="0"/>
    </xf>
    <xf numFmtId="0" fontId="76" fillId="10" borderId="13" xfId="0" applyFont="1" applyFill="1" applyBorder="1" applyProtection="1">
      <protection locked="0"/>
    </xf>
    <xf numFmtId="0" fontId="0" fillId="8" borderId="0" xfId="0" applyFill="1" applyBorder="1"/>
    <xf numFmtId="0" fontId="61" fillId="10" borderId="13" xfId="0" applyFont="1" applyFill="1" applyBorder="1" applyProtection="1">
      <protection locked="0"/>
    </xf>
    <xf numFmtId="0" fontId="61" fillId="10" borderId="11" xfId="0" applyFont="1" applyFill="1" applyBorder="1" applyProtection="1">
      <protection locked="0"/>
    </xf>
    <xf numFmtId="0" fontId="61" fillId="10" borderId="17" xfId="0" applyFont="1" applyFill="1" applyBorder="1" applyProtection="1">
      <protection locked="0"/>
    </xf>
    <xf numFmtId="0" fontId="16" fillId="4" borderId="0" xfId="0" applyFont="1" applyFill="1"/>
    <xf numFmtId="0" fontId="74" fillId="11" borderId="8" xfId="0" applyFont="1" applyFill="1" applyBorder="1" applyProtection="1">
      <protection locked="0"/>
    </xf>
    <xf numFmtId="0" fontId="16" fillId="8" borderId="0" xfId="0" applyFont="1" applyFill="1"/>
    <xf numFmtId="0" fontId="79" fillId="11" borderId="1" xfId="0" applyFont="1" applyFill="1" applyBorder="1" applyAlignment="1" applyProtection="1">
      <alignment horizontal="right"/>
      <protection locked="0"/>
    </xf>
    <xf numFmtId="0" fontId="80" fillId="11" borderId="1" xfId="0" applyFont="1" applyFill="1" applyBorder="1" applyAlignment="1" applyProtection="1">
      <alignment horizontal="right"/>
      <protection locked="0"/>
    </xf>
    <xf numFmtId="3" fontId="80" fillId="10" borderId="0" xfId="0" applyNumberFormat="1" applyFont="1" applyFill="1" applyBorder="1" applyAlignment="1" applyProtection="1">
      <alignment horizontal="center"/>
      <protection locked="0"/>
    </xf>
    <xf numFmtId="0" fontId="67" fillId="10" borderId="2" xfId="0" applyFont="1" applyFill="1" applyBorder="1" applyProtection="1">
      <protection locked="0"/>
    </xf>
    <xf numFmtId="0" fontId="67" fillId="10" borderId="8" xfId="0" applyFont="1" applyFill="1" applyBorder="1" applyProtection="1">
      <protection locked="0"/>
    </xf>
    <xf numFmtId="3" fontId="79" fillId="10" borderId="0" xfId="0" applyNumberFormat="1" applyFont="1" applyFill="1" applyBorder="1" applyAlignment="1" applyProtection="1">
      <alignment horizontal="left"/>
      <protection locked="0"/>
    </xf>
    <xf numFmtId="4" fontId="80" fillId="10" borderId="0" xfId="0" applyNumberFormat="1" applyFont="1" applyFill="1" applyBorder="1" applyAlignment="1" applyProtection="1">
      <alignment horizontal="center"/>
      <protection locked="0"/>
    </xf>
    <xf numFmtId="0" fontId="71" fillId="10" borderId="0" xfId="0" applyFont="1" applyFill="1" applyBorder="1" applyProtection="1">
      <protection locked="0"/>
    </xf>
    <xf numFmtId="0" fontId="71" fillId="11" borderId="1" xfId="0" applyNumberFormat="1" applyFont="1" applyFill="1" applyBorder="1" applyAlignment="1" applyProtection="1">
      <alignment horizontal="center"/>
      <protection locked="0"/>
    </xf>
    <xf numFmtId="0" fontId="82" fillId="10" borderId="0" xfId="0" applyFont="1" applyFill="1" applyBorder="1" applyAlignment="1" applyProtection="1">
      <alignment horizontal="left"/>
      <protection locked="0"/>
    </xf>
    <xf numFmtId="0" fontId="82" fillId="11" borderId="0" xfId="0" applyFont="1" applyFill="1" applyBorder="1" applyAlignment="1" applyProtection="1">
      <alignment horizontal="left"/>
      <protection locked="0"/>
    </xf>
    <xf numFmtId="0" fontId="73" fillId="11" borderId="0" xfId="0" applyFont="1" applyFill="1" applyBorder="1" applyProtection="1">
      <protection locked="0"/>
    </xf>
    <xf numFmtId="0" fontId="61" fillId="11" borderId="3" xfId="0" applyFont="1" applyFill="1" applyBorder="1" applyProtection="1">
      <protection locked="0"/>
    </xf>
    <xf numFmtId="0" fontId="84" fillId="11" borderId="0" xfId="0" applyFont="1" applyFill="1" applyBorder="1" applyProtection="1">
      <protection locked="0"/>
    </xf>
    <xf numFmtId="0" fontId="70" fillId="11" borderId="0" xfId="0" applyFont="1" applyFill="1" applyBorder="1" applyProtection="1">
      <protection locked="0"/>
    </xf>
    <xf numFmtId="0" fontId="80" fillId="11" borderId="0" xfId="0" applyFont="1" applyFill="1" applyBorder="1" applyProtection="1">
      <protection locked="0"/>
    </xf>
    <xf numFmtId="0" fontId="70" fillId="11" borderId="2" xfId="0" quotePrefix="1" applyFont="1" applyFill="1" applyBorder="1" applyProtection="1">
      <protection locked="0"/>
    </xf>
    <xf numFmtId="0" fontId="70" fillId="11" borderId="8" xfId="0" applyFont="1" applyFill="1" applyBorder="1" applyProtection="1">
      <protection locked="0"/>
    </xf>
    <xf numFmtId="0" fontId="80" fillId="11" borderId="8" xfId="0" applyFont="1" applyFill="1" applyBorder="1" applyProtection="1">
      <protection locked="0"/>
    </xf>
    <xf numFmtId="0" fontId="80" fillId="10" borderId="0" xfId="0" applyFont="1" applyFill="1" applyBorder="1" applyAlignment="1" applyProtection="1">
      <alignment horizontal="center"/>
      <protection locked="0"/>
    </xf>
    <xf numFmtId="0" fontId="74" fillId="10" borderId="0" xfId="0" quotePrefix="1" applyFont="1" applyFill="1" applyBorder="1" applyAlignment="1" applyProtection="1">
      <alignment horizontal="center"/>
      <protection locked="0"/>
    </xf>
    <xf numFmtId="0" fontId="83" fillId="10" borderId="0" xfId="0" applyFont="1" applyFill="1" applyBorder="1" applyAlignment="1" applyProtection="1">
      <alignment horizontal="left"/>
      <protection locked="0"/>
    </xf>
    <xf numFmtId="0" fontId="83" fillId="11" borderId="0" xfId="0" applyFont="1" applyFill="1" applyBorder="1" applyAlignment="1" applyProtection="1">
      <alignment horizontal="left"/>
      <protection locked="0"/>
    </xf>
    <xf numFmtId="0" fontId="86" fillId="11" borderId="0" xfId="0" applyFont="1" applyFill="1" applyBorder="1" applyAlignment="1" applyProtection="1">
      <alignment horizontal="center"/>
      <protection locked="0"/>
    </xf>
    <xf numFmtId="2" fontId="66" fillId="11" borderId="0" xfId="0" applyNumberFormat="1" applyFont="1" applyFill="1" applyBorder="1" applyAlignment="1" applyProtection="1">
      <alignment horizontal="center"/>
      <protection locked="0"/>
    </xf>
    <xf numFmtId="0" fontId="66" fillId="11" borderId="0" xfId="0" applyFont="1" applyFill="1" applyBorder="1" applyAlignment="1" applyProtection="1">
      <alignment horizontal="center" vertical="center"/>
      <protection locked="0"/>
    </xf>
    <xf numFmtId="0" fontId="79" fillId="11" borderId="0" xfId="0" quotePrefix="1" applyFont="1" applyFill="1" applyBorder="1" applyProtection="1">
      <protection locked="0"/>
    </xf>
    <xf numFmtId="0" fontId="66" fillId="11" borderId="0" xfId="0" applyFont="1" applyFill="1" applyBorder="1" applyAlignment="1" applyProtection="1">
      <alignment horizontal="center"/>
      <protection locked="0"/>
    </xf>
    <xf numFmtId="0" fontId="65" fillId="11" borderId="14" xfId="0" applyFont="1" applyFill="1" applyBorder="1" applyProtection="1">
      <protection locked="0"/>
    </xf>
    <xf numFmtId="0" fontId="71" fillId="11" borderId="18" xfId="0" applyNumberFormat="1" applyFont="1" applyFill="1" applyBorder="1" applyAlignment="1" applyProtection="1">
      <alignment horizontal="center"/>
      <protection locked="0"/>
    </xf>
    <xf numFmtId="0" fontId="66" fillId="11" borderId="18" xfId="0" applyNumberFormat="1" applyFont="1" applyFill="1" applyBorder="1" applyAlignment="1" applyProtection="1">
      <alignment horizontal="center"/>
      <protection locked="0"/>
    </xf>
    <xf numFmtId="0" fontId="71" fillId="10" borderId="0" xfId="0" quotePrefix="1" applyFont="1" applyFill="1" applyBorder="1" applyProtection="1">
      <protection locked="0"/>
    </xf>
    <xf numFmtId="0" fontId="89" fillId="10" borderId="0" xfId="0" applyFont="1" applyFill="1" applyBorder="1" applyAlignment="1" applyProtection="1">
      <alignment horizontal="center"/>
      <protection locked="0"/>
    </xf>
    <xf numFmtId="0" fontId="81" fillId="10" borderId="0" xfId="0" quotePrefix="1" applyFont="1" applyFill="1" applyBorder="1" applyProtection="1">
      <protection locked="0"/>
    </xf>
    <xf numFmtId="0" fontId="81" fillId="10" borderId="0" xfId="0" applyFont="1" applyFill="1" applyBorder="1" applyAlignment="1" applyProtection="1">
      <alignment horizontal="right"/>
      <protection locked="0"/>
    </xf>
    <xf numFmtId="0" fontId="82" fillId="10" borderId="0" xfId="0" applyFont="1" applyFill="1" applyBorder="1" applyAlignment="1" applyProtection="1">
      <alignment horizontal="center"/>
      <protection locked="0"/>
    </xf>
    <xf numFmtId="3" fontId="78" fillId="10" borderId="0" xfId="0" applyNumberFormat="1" applyFont="1" applyFill="1" applyBorder="1" applyAlignment="1" applyProtection="1">
      <protection locked="0"/>
    </xf>
    <xf numFmtId="3" fontId="83" fillId="10" borderId="0" xfId="0" applyNumberFormat="1" applyFont="1" applyFill="1" applyBorder="1" applyAlignment="1" applyProtection="1">
      <protection locked="0"/>
    </xf>
    <xf numFmtId="0" fontId="90" fillId="10" borderId="0" xfId="0" applyFont="1" applyFill="1" applyBorder="1" applyProtection="1">
      <protection locked="0"/>
    </xf>
    <xf numFmtId="0" fontId="91" fillId="10" borderId="0" xfId="0" applyFont="1" applyFill="1" applyBorder="1" applyProtection="1">
      <protection locked="0"/>
    </xf>
    <xf numFmtId="0" fontId="91" fillId="10" borderId="0" xfId="0" applyFont="1" applyFill="1" applyBorder="1" applyAlignment="1" applyProtection="1">
      <alignment horizontal="center"/>
      <protection locked="0"/>
    </xf>
    <xf numFmtId="0" fontId="0" fillId="10" borderId="0" xfId="0" applyFill="1" applyBorder="1"/>
    <xf numFmtId="0" fontId="90" fillId="11" borderId="0" xfId="0" applyFont="1" applyFill="1" applyBorder="1" applyProtection="1">
      <protection locked="0"/>
    </xf>
    <xf numFmtId="0" fontId="81" fillId="11" borderId="0" xfId="0" quotePrefix="1" applyFont="1" applyFill="1" applyBorder="1" applyProtection="1">
      <protection locked="0"/>
    </xf>
    <xf numFmtId="0" fontId="91" fillId="11" borderId="0" xfId="0" applyFont="1" applyFill="1" applyBorder="1" applyProtection="1">
      <protection locked="0"/>
    </xf>
    <xf numFmtId="0" fontId="81" fillId="11" borderId="0" xfId="0" applyFont="1" applyFill="1" applyBorder="1" applyProtection="1">
      <protection locked="0"/>
    </xf>
    <xf numFmtId="0" fontId="61" fillId="11" borderId="0" xfId="0" applyFont="1" applyFill="1" applyBorder="1" applyAlignment="1" applyProtection="1">
      <alignment vertical="top"/>
      <protection locked="0"/>
    </xf>
    <xf numFmtId="0" fontId="81" fillId="11" borderId="0" xfId="0" applyFont="1" applyFill="1" applyBorder="1" applyAlignment="1" applyProtection="1">
      <alignment vertical="top"/>
      <protection locked="0"/>
    </xf>
    <xf numFmtId="0" fontId="76" fillId="10" borderId="9" xfId="0" applyFont="1" applyFill="1" applyBorder="1" applyProtection="1">
      <protection locked="0"/>
    </xf>
    <xf numFmtId="0" fontId="61" fillId="10" borderId="14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5" fillId="11" borderId="0" xfId="0" applyFont="1" applyFill="1" applyBorder="1" applyAlignment="1">
      <alignment horizontal="left" vertical="top" wrapText="1"/>
    </xf>
    <xf numFmtId="0" fontId="0" fillId="11" borderId="0" xfId="0" applyFill="1" applyProtection="1">
      <protection locked="0"/>
    </xf>
    <xf numFmtId="0" fontId="0" fillId="11" borderId="0" xfId="0" applyFill="1" applyBorder="1" applyProtection="1">
      <protection locked="0"/>
    </xf>
    <xf numFmtId="0" fontId="22" fillId="11" borderId="0" xfId="0" applyFont="1" applyFill="1"/>
    <xf numFmtId="0" fontId="124" fillId="2" borderId="13" xfId="0" applyFont="1" applyFill="1" applyBorder="1" applyAlignment="1">
      <alignment vertical="center"/>
    </xf>
    <xf numFmtId="0" fontId="5" fillId="11" borderId="0" xfId="0" applyFont="1" applyFill="1" applyBorder="1"/>
    <xf numFmtId="0" fontId="97" fillId="16" borderId="0" xfId="0" quotePrefix="1" applyFont="1" applyFill="1" applyProtection="1">
      <protection locked="0"/>
    </xf>
    <xf numFmtId="0" fontId="0" fillId="16" borderId="0" xfId="0" applyFill="1" applyProtection="1">
      <protection locked="0"/>
    </xf>
    <xf numFmtId="0" fontId="92" fillId="16" borderId="0" xfId="0" quotePrefix="1" applyFont="1" applyFill="1" applyProtection="1">
      <protection locked="0"/>
    </xf>
    <xf numFmtId="0" fontId="57" fillId="16" borderId="0" xfId="0" applyFont="1" applyFill="1" applyProtection="1">
      <protection locked="0"/>
    </xf>
    <xf numFmtId="0" fontId="55" fillId="16" borderId="0" xfId="0" applyFont="1" applyFill="1" applyProtection="1">
      <protection locked="0"/>
    </xf>
    <xf numFmtId="0" fontId="98" fillId="16" borderId="0" xfId="0" applyFont="1" applyFill="1" applyAlignment="1" applyProtection="1">
      <alignment horizontal="center"/>
      <protection locked="0"/>
    </xf>
    <xf numFmtId="0" fontId="100" fillId="16" borderId="0" xfId="0" quotePrefix="1" applyFont="1" applyFill="1" applyProtection="1">
      <protection locked="0"/>
    </xf>
    <xf numFmtId="0" fontId="101" fillId="16" borderId="0" xfId="0" quotePrefix="1" applyFont="1" applyFill="1" applyProtection="1">
      <protection locked="0"/>
    </xf>
    <xf numFmtId="0" fontId="102" fillId="16" borderId="0" xfId="0" applyFont="1" applyFill="1" applyProtection="1">
      <protection locked="0"/>
    </xf>
    <xf numFmtId="0" fontId="39" fillId="16" borderId="0" xfId="0" applyFont="1" applyFill="1" applyProtection="1">
      <protection locked="0"/>
    </xf>
    <xf numFmtId="0" fontId="103" fillId="16" borderId="0" xfId="0" quotePrefix="1" applyFont="1" applyFill="1" applyProtection="1">
      <protection locked="0"/>
    </xf>
    <xf numFmtId="0" fontId="104" fillId="16" borderId="0" xfId="0" quotePrefix="1" applyFont="1" applyFill="1" applyProtection="1">
      <protection locked="0"/>
    </xf>
    <xf numFmtId="0" fontId="44" fillId="16" borderId="0" xfId="0" applyFont="1" applyFill="1" applyProtection="1">
      <protection locked="0"/>
    </xf>
    <xf numFmtId="0" fontId="106" fillId="16" borderId="0" xfId="0" quotePrefix="1" applyFont="1" applyFill="1" applyBorder="1" applyProtection="1">
      <protection locked="0"/>
    </xf>
    <xf numFmtId="0" fontId="107" fillId="16" borderId="0" xfId="0" quotePrefix="1" applyFont="1" applyFill="1" applyBorder="1" applyProtection="1">
      <protection locked="0"/>
    </xf>
    <xf numFmtId="0" fontId="0" fillId="16" borderId="0" xfId="0" applyFill="1" applyBorder="1" applyProtection="1">
      <protection locked="0"/>
    </xf>
    <xf numFmtId="0" fontId="107" fillId="16" borderId="0" xfId="0" quotePrefix="1" applyFont="1" applyFill="1" applyProtection="1">
      <protection locked="0"/>
    </xf>
    <xf numFmtId="0" fontId="92" fillId="16" borderId="0" xfId="0" applyFont="1" applyFill="1" applyBorder="1" applyProtection="1">
      <protection locked="0"/>
    </xf>
    <xf numFmtId="0" fontId="92" fillId="16" borderId="0" xfId="0" applyFont="1" applyFill="1" applyProtection="1">
      <protection locked="0"/>
    </xf>
    <xf numFmtId="0" fontId="93" fillId="16" borderId="9" xfId="0" applyFont="1" applyFill="1" applyBorder="1" applyProtection="1">
      <protection locked="0"/>
    </xf>
    <xf numFmtId="0" fontId="0" fillId="16" borderId="10" xfId="0" applyFill="1" applyBorder="1" applyProtection="1">
      <protection locked="0"/>
    </xf>
    <xf numFmtId="0" fontId="30" fillId="16" borderId="10" xfId="0" applyFont="1" applyFill="1" applyBorder="1" applyAlignment="1" applyProtection="1">
      <alignment horizontal="left"/>
      <protection locked="0"/>
    </xf>
    <xf numFmtId="0" fontId="0" fillId="16" borderId="14" xfId="0" applyFill="1" applyBorder="1" applyProtection="1">
      <protection locked="0"/>
    </xf>
    <xf numFmtId="0" fontId="93" fillId="16" borderId="0" xfId="0" applyFont="1" applyFill="1" applyBorder="1" applyProtection="1">
      <protection locked="0"/>
    </xf>
    <xf numFmtId="0" fontId="28" fillId="16" borderId="0" xfId="0" quotePrefix="1" applyFont="1" applyFill="1" applyBorder="1" applyProtection="1">
      <protection locked="0"/>
    </xf>
    <xf numFmtId="0" fontId="121" fillId="16" borderId="0" xfId="0" applyFont="1" applyFill="1" applyBorder="1" applyAlignment="1" applyProtection="1">
      <protection locked="0"/>
    </xf>
    <xf numFmtId="0" fontId="39" fillId="16" borderId="0" xfId="0" quotePrefix="1" applyFont="1" applyFill="1" applyBorder="1" applyProtection="1">
      <protection locked="0"/>
    </xf>
    <xf numFmtId="0" fontId="43" fillId="16" borderId="13" xfId="0" quotePrefix="1" applyFont="1" applyFill="1" applyBorder="1" applyProtection="1">
      <protection locked="0"/>
    </xf>
    <xf numFmtId="0" fontId="43" fillId="16" borderId="0" xfId="0" quotePrefix="1" applyFont="1" applyFill="1" applyBorder="1" applyProtection="1">
      <protection locked="0"/>
    </xf>
    <xf numFmtId="0" fontId="0" fillId="16" borderId="21" xfId="0" applyFill="1" applyBorder="1" applyProtection="1">
      <protection locked="0"/>
    </xf>
    <xf numFmtId="0" fontId="104" fillId="16" borderId="0" xfId="0" applyFont="1" applyFill="1" applyBorder="1" applyProtection="1">
      <protection locked="0"/>
    </xf>
    <xf numFmtId="0" fontId="43" fillId="16" borderId="13" xfId="0" applyFont="1" applyFill="1" applyBorder="1" applyProtection="1">
      <protection locked="0"/>
    </xf>
    <xf numFmtId="0" fontId="43" fillId="16" borderId="0" xfId="0" applyFont="1" applyFill="1" applyBorder="1" applyProtection="1">
      <protection locked="0"/>
    </xf>
    <xf numFmtId="0" fontId="104" fillId="16" borderId="0" xfId="0" quotePrefix="1" applyFont="1" applyFill="1" applyBorder="1" applyAlignment="1" applyProtection="1">
      <alignment horizontal="right"/>
      <protection locked="0"/>
    </xf>
    <xf numFmtId="0" fontId="105" fillId="16" borderId="0" xfId="0" applyFont="1" applyFill="1" applyBorder="1" applyProtection="1">
      <protection locked="0"/>
    </xf>
    <xf numFmtId="0" fontId="35" fillId="16" borderId="13" xfId="0" applyFont="1" applyFill="1" applyBorder="1" applyProtection="1">
      <protection locked="0"/>
    </xf>
    <xf numFmtId="0" fontId="109" fillId="16" borderId="0" xfId="0" quotePrefix="1" applyFont="1" applyFill="1" applyBorder="1" applyAlignment="1" applyProtection="1">
      <alignment horizontal="right"/>
      <protection locked="0"/>
    </xf>
    <xf numFmtId="0" fontId="39" fillId="16" borderId="0" xfId="0" quotePrefix="1" applyFont="1" applyFill="1" applyBorder="1" applyAlignment="1" applyProtection="1">
      <alignment horizontal="right"/>
      <protection locked="0"/>
    </xf>
    <xf numFmtId="43" fontId="34" fillId="16" borderId="0" xfId="2" quotePrefix="1" applyFont="1" applyFill="1" applyBorder="1" applyAlignment="1" applyProtection="1">
      <alignment horizontal="left"/>
      <protection locked="0"/>
    </xf>
    <xf numFmtId="0" fontId="110" fillId="16" borderId="13" xfId="0" applyFont="1" applyFill="1" applyBorder="1" applyProtection="1">
      <protection locked="0"/>
    </xf>
    <xf numFmtId="0" fontId="111" fillId="16" borderId="0" xfId="0" applyFont="1" applyFill="1" applyBorder="1" applyAlignment="1" applyProtection="1">
      <alignment horizontal="right"/>
      <protection locked="0"/>
    </xf>
    <xf numFmtId="0" fontId="39" fillId="16" borderId="0" xfId="0" applyFont="1" applyFill="1" applyBorder="1" applyAlignment="1" applyProtection="1">
      <alignment horizontal="right"/>
      <protection locked="0"/>
    </xf>
    <xf numFmtId="166" fontId="53" fillId="16" borderId="0" xfId="0" quotePrefix="1" applyNumberFormat="1" applyFont="1" applyFill="1" applyBorder="1" applyAlignment="1" applyProtection="1">
      <alignment horizontal="left"/>
      <protection locked="0"/>
    </xf>
    <xf numFmtId="0" fontId="53" fillId="16" borderId="11" xfId="0" applyFont="1" applyFill="1" applyBorder="1" applyProtection="1">
      <protection locked="0"/>
    </xf>
    <xf numFmtId="0" fontId="0" fillId="16" borderId="12" xfId="0" applyFill="1" applyBorder="1" applyProtection="1">
      <protection locked="0"/>
    </xf>
    <xf numFmtId="0" fontId="0" fillId="16" borderId="17" xfId="0" applyFill="1" applyBorder="1" applyProtection="1">
      <protection locked="0"/>
    </xf>
    <xf numFmtId="0" fontId="92" fillId="16" borderId="15" xfId="0" applyFont="1" applyFill="1" applyBorder="1" applyProtection="1">
      <protection locked="0"/>
    </xf>
    <xf numFmtId="0" fontId="92" fillId="16" borderId="30" xfId="0" applyFont="1" applyFill="1" applyBorder="1" applyProtection="1">
      <protection locked="0"/>
    </xf>
    <xf numFmtId="0" fontId="92" fillId="16" borderId="28" xfId="0" applyFont="1" applyFill="1" applyBorder="1" applyProtection="1">
      <protection locked="0"/>
    </xf>
    <xf numFmtId="0" fontId="0" fillId="16" borderId="28" xfId="0" applyFill="1" applyBorder="1" applyProtection="1">
      <protection locked="0"/>
    </xf>
    <xf numFmtId="1" fontId="56" fillId="16" borderId="28" xfId="0" quotePrefix="1" applyNumberFormat="1" applyFont="1" applyFill="1" applyBorder="1" applyAlignment="1" applyProtection="1">
      <alignment horizontal="center"/>
      <protection locked="0"/>
    </xf>
    <xf numFmtId="0" fontId="0" fillId="16" borderId="31" xfId="0" applyFill="1" applyBorder="1" applyProtection="1">
      <protection locked="0"/>
    </xf>
    <xf numFmtId="0" fontId="43" fillId="16" borderId="7" xfId="0" quotePrefix="1" applyFont="1" applyFill="1" applyBorder="1" applyProtection="1">
      <protection locked="0"/>
    </xf>
    <xf numFmtId="0" fontId="43" fillId="16" borderId="33" xfId="0" quotePrefix="1" applyFont="1" applyFill="1" applyBorder="1" applyProtection="1">
      <protection locked="0"/>
    </xf>
    <xf numFmtId="0" fontId="44" fillId="16" borderId="29" xfId="0" quotePrefix="1" applyFont="1" applyFill="1" applyBorder="1" applyAlignment="1" applyProtection="1">
      <alignment horizontal="right"/>
      <protection locked="0"/>
    </xf>
    <xf numFmtId="166" fontId="34" fillId="16" borderId="29" xfId="2" quotePrefix="1" applyNumberFormat="1" applyFont="1" applyFill="1" applyBorder="1" applyProtection="1">
      <protection locked="0"/>
    </xf>
    <xf numFmtId="0" fontId="44" fillId="16" borderId="29" xfId="0" quotePrefix="1" applyFont="1" applyFill="1" applyBorder="1" applyProtection="1">
      <protection locked="0"/>
    </xf>
    <xf numFmtId="0" fontId="105" fillId="16" borderId="29" xfId="0" quotePrefix="1" applyFont="1" applyFill="1" applyBorder="1" applyAlignment="1" applyProtection="1">
      <alignment horizontal="center"/>
      <protection locked="0"/>
    </xf>
    <xf numFmtId="0" fontId="44" fillId="16" borderId="29" xfId="0" applyFont="1" applyFill="1" applyBorder="1" applyProtection="1">
      <protection locked="0"/>
    </xf>
    <xf numFmtId="0" fontId="44" fillId="16" borderId="34" xfId="0" quotePrefix="1" applyFont="1" applyFill="1" applyBorder="1" applyProtection="1">
      <protection locked="0"/>
    </xf>
    <xf numFmtId="166" fontId="34" fillId="16" borderId="33" xfId="2" quotePrefix="1" applyNumberFormat="1" applyFont="1" applyFill="1" applyBorder="1" applyProtection="1">
      <protection locked="0"/>
    </xf>
    <xf numFmtId="0" fontId="112" fillId="16" borderId="29" xfId="0" applyFont="1" applyFill="1" applyBorder="1" applyAlignment="1" applyProtection="1">
      <alignment horizontal="center"/>
      <protection locked="0"/>
    </xf>
    <xf numFmtId="0" fontId="44" fillId="16" borderId="34" xfId="0" applyFont="1" applyFill="1" applyBorder="1" applyProtection="1">
      <protection locked="0"/>
    </xf>
    <xf numFmtId="0" fontId="92" fillId="16" borderId="4" xfId="0" applyFont="1" applyFill="1" applyBorder="1" applyAlignment="1" applyProtection="1">
      <alignment horizontal="right"/>
      <protection locked="0"/>
    </xf>
    <xf numFmtId="166" fontId="34" fillId="16" borderId="16" xfId="2" quotePrefix="1" applyNumberFormat="1" applyFont="1" applyFill="1" applyBorder="1" applyProtection="1">
      <protection locked="0"/>
    </xf>
    <xf numFmtId="0" fontId="44" fillId="16" borderId="16" xfId="0" applyFont="1" applyFill="1" applyBorder="1" applyAlignment="1" applyProtection="1">
      <alignment horizontal="center"/>
      <protection locked="0"/>
    </xf>
    <xf numFmtId="168" fontId="96" fillId="16" borderId="16" xfId="0" applyNumberFormat="1" applyFont="1" applyFill="1" applyBorder="1" applyProtection="1">
      <protection locked="0"/>
    </xf>
    <xf numFmtId="0" fontId="44" fillId="16" borderId="16" xfId="0" quotePrefix="1" applyFont="1" applyFill="1" applyBorder="1" applyAlignment="1" applyProtection="1">
      <alignment horizontal="center"/>
      <protection locked="0"/>
    </xf>
    <xf numFmtId="169" fontId="113" fillId="16" borderId="16" xfId="2" quotePrefix="1" applyNumberFormat="1" applyFont="1" applyFill="1" applyBorder="1" applyAlignment="1" applyProtection="1">
      <alignment horizontal="left"/>
      <protection locked="0"/>
    </xf>
    <xf numFmtId="164" fontId="44" fillId="16" borderId="16" xfId="0" applyNumberFormat="1" applyFont="1" applyFill="1" applyBorder="1" applyAlignment="1" applyProtection="1">
      <alignment horizontal="left"/>
      <protection locked="0"/>
    </xf>
    <xf numFmtId="0" fontId="0" fillId="16" borderId="5" xfId="0" applyFill="1" applyBorder="1" applyProtection="1">
      <protection locked="0"/>
    </xf>
    <xf numFmtId="0" fontId="99" fillId="16" borderId="0" xfId="0" applyFont="1" applyFill="1" applyAlignment="1" applyProtection="1">
      <alignment horizontal="center"/>
      <protection locked="0"/>
    </xf>
    <xf numFmtId="0" fontId="115" fillId="16" borderId="0" xfId="0" quotePrefix="1" applyFont="1" applyFill="1" applyProtection="1">
      <protection locked="0"/>
    </xf>
    <xf numFmtId="0" fontId="93" fillId="16" borderId="30" xfId="0" applyFont="1" applyFill="1" applyBorder="1" applyProtection="1">
      <protection locked="0"/>
    </xf>
    <xf numFmtId="0" fontId="30" fillId="16" borderId="28" xfId="0" applyFont="1" applyFill="1" applyBorder="1" applyAlignment="1" applyProtection="1">
      <alignment horizontal="left"/>
      <protection locked="0"/>
    </xf>
    <xf numFmtId="0" fontId="43" fillId="16" borderId="27" xfId="0" quotePrefix="1" applyFont="1" applyFill="1" applyBorder="1" applyProtection="1">
      <protection locked="0"/>
    </xf>
    <xf numFmtId="0" fontId="0" fillId="16" borderId="32" xfId="0" applyFill="1" applyBorder="1" applyProtection="1">
      <protection locked="0"/>
    </xf>
    <xf numFmtId="2" fontId="105" fillId="16" borderId="0" xfId="0" applyNumberFormat="1" applyFont="1" applyFill="1" applyProtection="1">
      <protection locked="0"/>
    </xf>
    <xf numFmtId="0" fontId="30" fillId="16" borderId="0" xfId="0" applyFont="1" applyFill="1" applyBorder="1" applyAlignment="1" applyProtection="1">
      <alignment horizontal="left"/>
      <protection locked="0"/>
    </xf>
    <xf numFmtId="166" fontId="104" fillId="16" borderId="0" xfId="0" applyNumberFormat="1" applyFont="1" applyFill="1" applyBorder="1" applyProtection="1">
      <protection locked="0"/>
    </xf>
    <xf numFmtId="0" fontId="43" fillId="16" borderId="27" xfId="0" applyFont="1" applyFill="1" applyBorder="1" applyProtection="1">
      <protection locked="0"/>
    </xf>
    <xf numFmtId="0" fontId="35" fillId="16" borderId="27" xfId="0" applyFont="1" applyFill="1" applyBorder="1" applyProtection="1">
      <protection locked="0"/>
    </xf>
    <xf numFmtId="170" fontId="44" fillId="16" borderId="0" xfId="2" quotePrefix="1" applyNumberFormat="1" applyFont="1" applyFill="1" applyBorder="1" applyAlignment="1" applyProtection="1">
      <alignment horizontal="right"/>
      <protection locked="0"/>
    </xf>
    <xf numFmtId="0" fontId="110" fillId="16" borderId="27" xfId="0" applyFont="1" applyFill="1" applyBorder="1" applyProtection="1">
      <protection locked="0"/>
    </xf>
    <xf numFmtId="0" fontId="53" fillId="16" borderId="33" xfId="0" applyFont="1" applyFill="1" applyBorder="1" applyProtection="1">
      <protection locked="0"/>
    </xf>
    <xf numFmtId="0" fontId="0" fillId="16" borderId="29" xfId="0" applyFill="1" applyBorder="1" applyProtection="1">
      <protection locked="0"/>
    </xf>
    <xf numFmtId="0" fontId="0" fillId="16" borderId="34" xfId="0" applyFill="1" applyBorder="1" applyProtection="1">
      <protection locked="0"/>
    </xf>
    <xf numFmtId="0" fontId="44" fillId="16" borderId="0" xfId="0" quotePrefix="1" applyFont="1" applyFill="1" applyBorder="1" applyAlignment="1" applyProtection="1">
      <alignment horizontal="right"/>
      <protection locked="0"/>
    </xf>
    <xf numFmtId="1" fontId="56" fillId="16" borderId="31" xfId="0" quotePrefix="1" applyNumberFormat="1" applyFont="1" applyFill="1" applyBorder="1" applyAlignment="1" applyProtection="1">
      <alignment horizontal="left" vertical="center"/>
      <protection locked="0"/>
    </xf>
    <xf numFmtId="1" fontId="94" fillId="16" borderId="30" xfId="0" quotePrefix="1" applyNumberFormat="1" applyFont="1" applyFill="1" applyBorder="1" applyAlignment="1" applyProtection="1">
      <alignment horizontal="left"/>
      <protection locked="0"/>
    </xf>
    <xf numFmtId="1" fontId="56" fillId="16" borderId="31" xfId="0" applyNumberFormat="1" applyFont="1" applyFill="1" applyBorder="1" applyAlignment="1" applyProtection="1">
      <alignment horizontal="left"/>
      <protection locked="0"/>
    </xf>
    <xf numFmtId="0" fontId="43" fillId="16" borderId="0" xfId="0" quotePrefix="1" applyFont="1" applyFill="1" applyBorder="1" applyAlignment="1" applyProtection="1">
      <alignment vertical="top"/>
      <protection locked="0"/>
    </xf>
    <xf numFmtId="170" fontId="44" fillId="16" borderId="33" xfId="2" quotePrefix="1" applyNumberFormat="1" applyFont="1" applyFill="1" applyBorder="1" applyAlignment="1" applyProtection="1">
      <alignment horizontal="right" vertical="top"/>
      <protection locked="0"/>
    </xf>
    <xf numFmtId="166" fontId="34" fillId="16" borderId="29" xfId="2" quotePrefix="1" applyNumberFormat="1" applyFont="1" applyFill="1" applyBorder="1" applyAlignment="1" applyProtection="1">
      <alignment horizontal="right" vertical="top"/>
      <protection locked="0"/>
    </xf>
    <xf numFmtId="0" fontId="44" fillId="16" borderId="29" xfId="0" quotePrefix="1" applyFont="1" applyFill="1" applyBorder="1" applyAlignment="1" applyProtection="1">
      <alignment vertical="top"/>
      <protection locked="0"/>
    </xf>
    <xf numFmtId="0" fontId="105" fillId="16" borderId="29" xfId="0" quotePrefix="1" applyFont="1" applyFill="1" applyBorder="1" applyAlignment="1" applyProtection="1">
      <alignment horizontal="center" vertical="top"/>
      <protection locked="0"/>
    </xf>
    <xf numFmtId="0" fontId="44" fillId="16" borderId="29" xfId="0" applyFont="1" applyFill="1" applyBorder="1" applyAlignment="1" applyProtection="1">
      <alignment vertical="top"/>
      <protection locked="0"/>
    </xf>
    <xf numFmtId="166" fontId="34" fillId="16" borderId="29" xfId="2" quotePrefix="1" applyNumberFormat="1" applyFont="1" applyFill="1" applyBorder="1" applyAlignment="1" applyProtection="1">
      <alignment vertical="top"/>
      <protection locked="0"/>
    </xf>
    <xf numFmtId="0" fontId="96" fillId="16" borderId="29" xfId="0" applyFont="1" applyFill="1" applyBorder="1" applyAlignment="1" applyProtection="1">
      <alignment horizontal="center" vertical="top"/>
      <protection locked="0"/>
    </xf>
    <xf numFmtId="0" fontId="44" fillId="16" borderId="34" xfId="0" applyFont="1" applyFill="1" applyBorder="1" applyAlignment="1" applyProtection="1">
      <alignment vertical="top"/>
      <protection locked="0"/>
    </xf>
    <xf numFmtId="0" fontId="0" fillId="16" borderId="0" xfId="0" applyFill="1" applyAlignment="1" applyProtection="1">
      <alignment vertical="top"/>
      <protection locked="0"/>
    </xf>
    <xf numFmtId="0" fontId="44" fillId="16" borderId="0" xfId="0" quotePrefix="1" applyFont="1" applyFill="1" applyBorder="1" applyProtection="1">
      <protection locked="0"/>
    </xf>
    <xf numFmtId="0" fontId="44" fillId="16" borderId="0" xfId="0" applyFont="1" applyFill="1" applyBorder="1" applyProtection="1">
      <protection locked="0"/>
    </xf>
    <xf numFmtId="166" fontId="34" fillId="16" borderId="0" xfId="2" quotePrefix="1" applyNumberFormat="1" applyFont="1" applyFill="1" applyBorder="1" applyProtection="1">
      <protection locked="0"/>
    </xf>
    <xf numFmtId="0" fontId="96" fillId="16" borderId="0" xfId="0" applyFont="1" applyFill="1" applyBorder="1" applyAlignment="1" applyProtection="1">
      <alignment horizontal="center"/>
      <protection locked="0"/>
    </xf>
    <xf numFmtId="166" fontId="56" fillId="16" borderId="31" xfId="0" applyNumberFormat="1" applyFont="1" applyFill="1" applyBorder="1" applyAlignment="1" applyProtection="1">
      <alignment horizontal="center"/>
      <protection locked="0"/>
    </xf>
    <xf numFmtId="166" fontId="56" fillId="16" borderId="0" xfId="0" applyNumberFormat="1" applyFont="1" applyFill="1" applyAlignment="1" applyProtection="1">
      <alignment horizontal="center"/>
      <protection locked="0"/>
    </xf>
    <xf numFmtId="170" fontId="44" fillId="16" borderId="33" xfId="2" quotePrefix="1" applyNumberFormat="1" applyFont="1" applyFill="1" applyBorder="1" applyAlignment="1" applyProtection="1">
      <alignment horizontal="right"/>
      <protection locked="0"/>
    </xf>
    <xf numFmtId="0" fontId="116" fillId="16" borderId="29" xfId="0" quotePrefix="1" applyFont="1" applyFill="1" applyBorder="1" applyProtection="1">
      <protection locked="0"/>
    </xf>
    <xf numFmtId="0" fontId="122" fillId="16" borderId="29" xfId="0" applyFont="1" applyFill="1" applyBorder="1" applyAlignment="1" applyProtection="1">
      <alignment horizontal="center"/>
      <protection locked="0"/>
    </xf>
    <xf numFmtId="0" fontId="96" fillId="16" borderId="34" xfId="0" applyFont="1" applyFill="1" applyBorder="1" applyAlignment="1" applyProtection="1">
      <alignment horizontal="center"/>
      <protection locked="0"/>
    </xf>
    <xf numFmtId="170" fontId="44" fillId="16" borderId="0" xfId="2" applyNumberFormat="1" applyFont="1" applyFill="1" applyBorder="1" applyAlignment="1" applyProtection="1">
      <alignment horizontal="right"/>
      <protection locked="0"/>
    </xf>
    <xf numFmtId="170" fontId="44" fillId="16" borderId="4" xfId="2" quotePrefix="1" applyNumberFormat="1" applyFont="1" applyFill="1" applyBorder="1" applyAlignment="1" applyProtection="1">
      <alignment horizontal="right"/>
      <protection locked="0"/>
    </xf>
    <xf numFmtId="0" fontId="34" fillId="16" borderId="16" xfId="0" applyFont="1" applyFill="1" applyBorder="1" applyAlignment="1" applyProtection="1">
      <alignment horizontal="center"/>
      <protection locked="0"/>
    </xf>
    <xf numFmtId="169" fontId="96" fillId="16" borderId="5" xfId="2" quotePrefix="1" applyNumberFormat="1" applyFont="1" applyFill="1" applyBorder="1" applyAlignment="1" applyProtection="1">
      <alignment horizontal="left"/>
      <protection locked="0"/>
    </xf>
    <xf numFmtId="0" fontId="44" fillId="16" borderId="0" xfId="0" applyFont="1" applyFill="1" applyBorder="1" applyAlignment="1" applyProtection="1">
      <alignment horizontal="center"/>
      <protection locked="0"/>
    </xf>
    <xf numFmtId="0" fontId="34" fillId="16" borderId="2" xfId="0" applyFont="1" applyFill="1" applyBorder="1" applyProtection="1">
      <protection locked="0"/>
    </xf>
    <xf numFmtId="170" fontId="34" fillId="16" borderId="3" xfId="2" quotePrefix="1" applyNumberFormat="1" applyFont="1" applyFill="1" applyBorder="1" applyAlignment="1" applyProtection="1">
      <alignment horizontal="right"/>
      <protection locked="0"/>
    </xf>
    <xf numFmtId="0" fontId="94" fillId="16" borderId="0" xfId="0" applyFont="1" applyFill="1" applyAlignment="1" applyProtection="1">
      <alignment horizontal="center"/>
      <protection locked="0"/>
    </xf>
    <xf numFmtId="0" fontId="101" fillId="16" borderId="0" xfId="0" applyFont="1" applyFill="1" applyBorder="1" applyAlignment="1" applyProtection="1">
      <alignment horizontal="right"/>
      <protection locked="0"/>
    </xf>
    <xf numFmtId="165" fontId="34" fillId="16" borderId="0" xfId="0" applyNumberFormat="1" applyFont="1" applyFill="1" applyBorder="1" applyProtection="1">
      <protection locked="0"/>
    </xf>
    <xf numFmtId="0" fontId="44" fillId="16" borderId="31" xfId="0" quotePrefix="1" applyFont="1" applyFill="1" applyBorder="1" applyAlignment="1" applyProtection="1">
      <alignment horizontal="right"/>
      <protection locked="0"/>
    </xf>
    <xf numFmtId="1" fontId="94" fillId="16" borderId="31" xfId="0" quotePrefix="1" applyNumberFormat="1" applyFont="1" applyFill="1" applyBorder="1" applyAlignment="1" applyProtection="1">
      <alignment horizontal="left"/>
      <protection locked="0"/>
    </xf>
    <xf numFmtId="0" fontId="43" fillId="16" borderId="34" xfId="0" quotePrefix="1" applyFont="1" applyFill="1" applyBorder="1" applyProtection="1">
      <protection locked="0"/>
    </xf>
    <xf numFmtId="166" fontId="30" fillId="16" borderId="29" xfId="2" applyNumberFormat="1" applyFont="1" applyFill="1" applyBorder="1" applyAlignment="1" applyProtection="1">
      <alignment horizontal="right"/>
      <protection locked="0"/>
    </xf>
    <xf numFmtId="170" fontId="34" fillId="16" borderId="29" xfId="2" quotePrefix="1" applyNumberFormat="1" applyFont="1" applyFill="1" applyBorder="1" applyAlignment="1" applyProtection="1">
      <alignment horizontal="right"/>
      <protection locked="0"/>
    </xf>
    <xf numFmtId="0" fontId="57" fillId="16" borderId="29" xfId="0" applyFont="1" applyFill="1" applyBorder="1" applyAlignment="1" applyProtection="1">
      <alignment horizontal="center"/>
      <protection locked="0"/>
    </xf>
    <xf numFmtId="0" fontId="44" fillId="16" borderId="29" xfId="0" applyFont="1" applyFill="1" applyBorder="1" applyAlignment="1" applyProtection="1">
      <alignment horizontal="left"/>
      <protection locked="0"/>
    </xf>
    <xf numFmtId="170" fontId="44" fillId="16" borderId="34" xfId="2" quotePrefix="1" applyNumberFormat="1" applyFont="1" applyFill="1" applyBorder="1" applyAlignment="1" applyProtection="1">
      <alignment horizontal="right"/>
      <protection locked="0"/>
    </xf>
    <xf numFmtId="166" fontId="30" fillId="16" borderId="0" xfId="2" applyNumberFormat="1" applyFont="1" applyFill="1" applyBorder="1" applyAlignment="1" applyProtection="1">
      <alignment horizontal="right"/>
      <protection locked="0"/>
    </xf>
    <xf numFmtId="170" fontId="34" fillId="16" borderId="0" xfId="2" quotePrefix="1" applyNumberFormat="1" applyFont="1" applyFill="1" applyBorder="1" applyAlignment="1" applyProtection="1">
      <alignment horizontal="right"/>
      <protection locked="0"/>
    </xf>
    <xf numFmtId="0" fontId="57" fillId="16" borderId="0" xfId="0" applyFont="1" applyFill="1" applyBorder="1" applyAlignment="1" applyProtection="1">
      <alignment horizontal="center"/>
      <protection locked="0"/>
    </xf>
    <xf numFmtId="0" fontId="110" fillId="16" borderId="0" xfId="0" applyFont="1" applyFill="1" applyBorder="1" applyProtection="1">
      <protection locked="0"/>
    </xf>
    <xf numFmtId="0" fontId="44" fillId="16" borderId="0" xfId="0" applyFont="1" applyFill="1" applyBorder="1" applyAlignment="1" applyProtection="1">
      <alignment horizontal="left"/>
      <protection locked="0"/>
    </xf>
    <xf numFmtId="170" fontId="44" fillId="16" borderId="28" xfId="2" quotePrefix="1" applyNumberFormat="1" applyFont="1" applyFill="1" applyBorder="1" applyAlignment="1" applyProtection="1">
      <alignment horizontal="right"/>
      <protection locked="0"/>
    </xf>
    <xf numFmtId="166" fontId="30" fillId="16" borderId="28" xfId="2" applyNumberFormat="1" applyFont="1" applyFill="1" applyBorder="1" applyAlignment="1" applyProtection="1">
      <alignment horizontal="right"/>
      <protection locked="0"/>
    </xf>
    <xf numFmtId="170" fontId="34" fillId="16" borderId="28" xfId="2" quotePrefix="1" applyNumberFormat="1" applyFont="1" applyFill="1" applyBorder="1" applyAlignment="1" applyProtection="1">
      <alignment horizontal="right"/>
      <protection locked="0"/>
    </xf>
    <xf numFmtId="0" fontId="57" fillId="16" borderId="28" xfId="0" applyFont="1" applyFill="1" applyBorder="1" applyAlignment="1" applyProtection="1">
      <alignment horizontal="center"/>
      <protection locked="0"/>
    </xf>
    <xf numFmtId="0" fontId="110" fillId="16" borderId="28" xfId="0" applyFont="1" applyFill="1" applyBorder="1" applyProtection="1">
      <protection locked="0"/>
    </xf>
    <xf numFmtId="0" fontId="0" fillId="16" borderId="33" xfId="0" applyFill="1" applyBorder="1" applyProtection="1">
      <protection locked="0"/>
    </xf>
    <xf numFmtId="170" fontId="44" fillId="16" borderId="0" xfId="2" quotePrefix="1" applyNumberFormat="1" applyFont="1" applyFill="1" applyBorder="1" applyAlignment="1" applyProtection="1">
      <protection locked="0"/>
    </xf>
    <xf numFmtId="170" fontId="44" fillId="16" borderId="0" xfId="2" quotePrefix="1" applyNumberFormat="1" applyFont="1" applyFill="1" applyBorder="1" applyAlignment="1" applyProtection="1">
      <alignment horizontal="center"/>
      <protection locked="0"/>
    </xf>
    <xf numFmtId="164" fontId="35" fillId="16" borderId="0" xfId="2" quotePrefix="1" applyNumberFormat="1" applyFont="1" applyFill="1" applyBorder="1" applyAlignment="1" applyProtection="1">
      <protection locked="0"/>
    </xf>
    <xf numFmtId="0" fontId="44" fillId="16" borderId="0" xfId="0" quotePrefix="1" applyFont="1" applyFill="1" applyBorder="1" applyAlignment="1" applyProtection="1">
      <alignment horizontal="center"/>
      <protection locked="0"/>
    </xf>
    <xf numFmtId="0" fontId="44" fillId="16" borderId="0" xfId="0" quotePrefix="1" applyFont="1" applyFill="1" applyBorder="1" applyAlignment="1" applyProtection="1">
      <alignment horizontal="left"/>
      <protection locked="0"/>
    </xf>
    <xf numFmtId="0" fontId="110" fillId="16" borderId="0" xfId="0" applyFont="1" applyFill="1" applyBorder="1" applyAlignment="1" applyProtection="1">
      <alignment horizontal="left"/>
      <protection locked="0"/>
    </xf>
    <xf numFmtId="166" fontId="56" fillId="16" borderId="28" xfId="0" applyNumberFormat="1" applyFont="1" applyFill="1" applyBorder="1" applyAlignment="1" applyProtection="1">
      <alignment horizontal="center"/>
      <protection locked="0"/>
    </xf>
    <xf numFmtId="0" fontId="116" fillId="16" borderId="0" xfId="0" quotePrefix="1" applyFont="1" applyFill="1" applyBorder="1" applyProtection="1">
      <protection locked="0"/>
    </xf>
    <xf numFmtId="0" fontId="44" fillId="16" borderId="33" xfId="0" applyFont="1" applyFill="1" applyBorder="1" applyProtection="1">
      <protection locked="0"/>
    </xf>
    <xf numFmtId="170" fontId="44" fillId="16" borderId="29" xfId="2" quotePrefix="1" applyNumberFormat="1" applyFont="1" applyFill="1" applyBorder="1" applyAlignment="1" applyProtection="1">
      <alignment horizontal="right"/>
      <protection locked="0"/>
    </xf>
    <xf numFmtId="0" fontId="34" fillId="16" borderId="29" xfId="0" quotePrefix="1" applyFont="1" applyFill="1" applyBorder="1" applyAlignment="1" applyProtection="1">
      <alignment horizontal="center"/>
      <protection locked="0"/>
    </xf>
    <xf numFmtId="171" fontId="56" fillId="16" borderId="34" xfId="2" quotePrefix="1" applyNumberFormat="1" applyFont="1" applyFill="1" applyBorder="1" applyAlignment="1" applyProtection="1">
      <alignment horizontal="center"/>
      <protection locked="0"/>
    </xf>
    <xf numFmtId="0" fontId="34" fillId="16" borderId="0" xfId="0" applyFont="1" applyFill="1" applyBorder="1" applyProtection="1">
      <protection locked="0"/>
    </xf>
    <xf numFmtId="168" fontId="30" fillId="16" borderId="0" xfId="2" applyNumberFormat="1" applyFont="1" applyFill="1" applyBorder="1" applyAlignment="1" applyProtection="1">
      <alignment horizontal="center"/>
      <protection locked="0"/>
    </xf>
    <xf numFmtId="170" fontId="43" fillId="16" borderId="0" xfId="2" applyNumberFormat="1" applyFont="1" applyFill="1" applyBorder="1" applyAlignment="1" applyProtection="1">
      <alignment horizontal="left"/>
      <protection locked="0"/>
    </xf>
    <xf numFmtId="0" fontId="34" fillId="16" borderId="0" xfId="0" quotePrefix="1" applyFont="1" applyFill="1" applyBorder="1" applyAlignment="1" applyProtection="1">
      <alignment horizontal="center"/>
      <protection locked="0"/>
    </xf>
    <xf numFmtId="171" fontId="56" fillId="16" borderId="0" xfId="2" quotePrefix="1" applyNumberFormat="1" applyFont="1" applyFill="1" applyBorder="1" applyAlignment="1" applyProtection="1">
      <alignment horizontal="center"/>
      <protection locked="0"/>
    </xf>
    <xf numFmtId="0" fontId="94" fillId="16" borderId="4" xfId="0" applyFont="1" applyFill="1" applyBorder="1" applyProtection="1">
      <protection locked="0"/>
    </xf>
    <xf numFmtId="0" fontId="30" fillId="16" borderId="16" xfId="0" applyFont="1" applyFill="1" applyBorder="1" applyAlignment="1" applyProtection="1">
      <alignment horizontal="center"/>
      <protection locked="0"/>
    </xf>
    <xf numFmtId="0" fontId="30" fillId="16" borderId="16" xfId="0" applyFont="1" applyFill="1" applyBorder="1" applyAlignment="1" applyProtection="1">
      <alignment horizontal="right"/>
      <protection locked="0"/>
    </xf>
    <xf numFmtId="166" fontId="56" fillId="16" borderId="16" xfId="0" applyNumberFormat="1" applyFont="1" applyFill="1" applyBorder="1" applyAlignment="1" applyProtection="1">
      <alignment horizontal="center"/>
      <protection locked="0"/>
    </xf>
    <xf numFmtId="0" fontId="44" fillId="16" borderId="16" xfId="0" applyFont="1" applyFill="1" applyBorder="1" applyProtection="1">
      <protection locked="0"/>
    </xf>
    <xf numFmtId="167" fontId="44" fillId="16" borderId="16" xfId="0" applyNumberFormat="1" applyFont="1" applyFill="1" applyBorder="1" applyProtection="1">
      <protection locked="0"/>
    </xf>
    <xf numFmtId="0" fontId="44" fillId="16" borderId="16" xfId="0" quotePrefix="1" applyFont="1" applyFill="1" applyBorder="1" applyAlignment="1" applyProtection="1">
      <alignment horizontal="left"/>
      <protection locked="0"/>
    </xf>
    <xf numFmtId="0" fontId="44" fillId="16" borderId="16" xfId="0" quotePrefix="1" applyFont="1" applyFill="1" applyBorder="1" applyProtection="1">
      <protection locked="0"/>
    </xf>
    <xf numFmtId="0" fontId="110" fillId="16" borderId="16" xfId="0" applyFont="1" applyFill="1" applyBorder="1" applyAlignment="1" applyProtection="1">
      <alignment horizontal="left"/>
      <protection locked="0"/>
    </xf>
    <xf numFmtId="0" fontId="92" fillId="16" borderId="4" xfId="0" applyFont="1" applyFill="1" applyBorder="1" applyProtection="1">
      <protection locked="0"/>
    </xf>
    <xf numFmtId="168" fontId="44" fillId="16" borderId="16" xfId="0" applyNumberFormat="1" applyFont="1" applyFill="1" applyBorder="1" applyProtection="1">
      <protection locked="0"/>
    </xf>
    <xf numFmtId="0" fontId="0" fillId="16" borderId="16" xfId="0" quotePrefix="1" applyFill="1" applyBorder="1" applyAlignment="1" applyProtection="1">
      <alignment horizontal="center"/>
      <protection locked="0"/>
    </xf>
    <xf numFmtId="170" fontId="43" fillId="16" borderId="16" xfId="2" applyNumberFormat="1" applyFont="1" applyFill="1" applyBorder="1" applyAlignment="1" applyProtection="1">
      <alignment horizontal="left"/>
      <protection locked="0"/>
    </xf>
    <xf numFmtId="0" fontId="0" fillId="16" borderId="16" xfId="0" applyFill="1" applyBorder="1" applyProtection="1">
      <protection locked="0"/>
    </xf>
    <xf numFmtId="172" fontId="44" fillId="16" borderId="28" xfId="2" applyNumberFormat="1" applyFont="1" applyFill="1" applyBorder="1" applyAlignment="1" applyProtection="1">
      <alignment horizontal="right"/>
      <protection locked="0"/>
    </xf>
    <xf numFmtId="0" fontId="43" fillId="16" borderId="28" xfId="0" quotePrefix="1" applyFont="1" applyFill="1" applyBorder="1" applyProtection="1">
      <protection locked="0"/>
    </xf>
    <xf numFmtId="166" fontId="44" fillId="16" borderId="28" xfId="0" applyNumberFormat="1" applyFont="1" applyFill="1" applyBorder="1" applyAlignment="1" applyProtection="1">
      <alignment horizontal="center"/>
      <protection locked="0"/>
    </xf>
    <xf numFmtId="0" fontId="119" fillId="16" borderId="28" xfId="0" applyFont="1" applyFill="1" applyBorder="1" applyProtection="1">
      <protection locked="0"/>
    </xf>
    <xf numFmtId="0" fontId="0" fillId="16" borderId="2" xfId="0" applyFill="1" applyBorder="1" applyProtection="1">
      <protection locked="0"/>
    </xf>
    <xf numFmtId="0" fontId="92" fillId="16" borderId="8" xfId="0" applyFont="1" applyFill="1" applyBorder="1" applyProtection="1">
      <protection locked="0"/>
    </xf>
    <xf numFmtId="173" fontId="44" fillId="16" borderId="8" xfId="0" applyNumberFormat="1" applyFont="1" applyFill="1" applyBorder="1" applyProtection="1">
      <protection locked="0"/>
    </xf>
    <xf numFmtId="0" fontId="0" fillId="16" borderId="8" xfId="0" quotePrefix="1" applyFill="1" applyBorder="1" applyProtection="1">
      <protection locked="0"/>
    </xf>
    <xf numFmtId="0" fontId="119" fillId="16" borderId="8" xfId="0" applyFont="1" applyFill="1" applyBorder="1" applyProtection="1">
      <protection locked="0"/>
    </xf>
    <xf numFmtId="0" fontId="0" fillId="16" borderId="8" xfId="0" applyFill="1" applyBorder="1" applyProtection="1">
      <protection locked="0"/>
    </xf>
    <xf numFmtId="0" fontId="0" fillId="16" borderId="8" xfId="0" applyFill="1" applyBorder="1" applyAlignment="1" applyProtection="1">
      <alignment horizontal="right"/>
      <protection locked="0"/>
    </xf>
    <xf numFmtId="0" fontId="104" fillId="16" borderId="8" xfId="0" applyFont="1" applyFill="1" applyBorder="1" applyAlignment="1" applyProtection="1">
      <alignment horizontal="right"/>
      <protection locked="0"/>
    </xf>
    <xf numFmtId="0" fontId="118" fillId="16" borderId="3" xfId="0" applyFont="1" applyFill="1" applyBorder="1" applyProtection="1">
      <protection locked="0"/>
    </xf>
    <xf numFmtId="0" fontId="103" fillId="16" borderId="0" xfId="0" quotePrefix="1" applyFont="1" applyFill="1" applyBorder="1" applyProtection="1">
      <protection locked="0"/>
    </xf>
    <xf numFmtId="0" fontId="104" fillId="16" borderId="0" xfId="0" applyFont="1" applyFill="1" applyProtection="1">
      <protection locked="0"/>
    </xf>
    <xf numFmtId="0" fontId="119" fillId="16" borderId="0" xfId="0" applyFont="1" applyFill="1" applyBorder="1" applyAlignment="1" applyProtection="1">
      <alignment horizontal="right"/>
      <protection locked="0"/>
    </xf>
    <xf numFmtId="169" fontId="110" fillId="16" borderId="0" xfId="0" quotePrefix="1" applyNumberFormat="1" applyFont="1" applyFill="1" applyBorder="1" applyAlignment="1" applyProtection="1">
      <alignment horizontal="left"/>
      <protection locked="0"/>
    </xf>
    <xf numFmtId="1" fontId="56" fillId="16" borderId="28" xfId="0" applyNumberFormat="1" applyFont="1" applyFill="1" applyBorder="1" applyAlignment="1" applyProtection="1">
      <alignment horizontal="right"/>
      <protection locked="0"/>
    </xf>
    <xf numFmtId="171" fontId="56" fillId="16" borderId="31" xfId="2" applyNumberFormat="1" applyFont="1" applyFill="1" applyBorder="1" applyAlignment="1" applyProtection="1">
      <alignment horizontal="center"/>
      <protection locked="0"/>
    </xf>
    <xf numFmtId="166" fontId="56" fillId="16" borderId="28" xfId="0" applyNumberFormat="1" applyFont="1" applyFill="1" applyBorder="1" applyAlignment="1" applyProtection="1">
      <alignment horizontal="right"/>
      <protection locked="0"/>
    </xf>
    <xf numFmtId="168" fontId="95" fillId="16" borderId="29" xfId="2" applyNumberFormat="1" applyFont="1" applyFill="1" applyBorder="1" applyAlignment="1" applyProtection="1">
      <alignment horizontal="center"/>
      <protection locked="0"/>
    </xf>
    <xf numFmtId="174" fontId="110" fillId="16" borderId="29" xfId="2" applyNumberFormat="1" applyFont="1" applyFill="1" applyBorder="1" applyAlignment="1" applyProtection="1">
      <alignment horizontal="left"/>
      <protection locked="0"/>
    </xf>
    <xf numFmtId="0" fontId="44" fillId="16" borderId="5" xfId="0" quotePrefix="1" applyFont="1" applyFill="1" applyBorder="1" applyAlignment="1" applyProtection="1">
      <alignment horizontal="left"/>
      <protection locked="0"/>
    </xf>
    <xf numFmtId="0" fontId="56" fillId="16" borderId="0" xfId="0" applyFont="1" applyFill="1" applyBorder="1" applyProtection="1">
      <protection locked="0"/>
    </xf>
    <xf numFmtId="168" fontId="95" fillId="16" borderId="0" xfId="0" applyNumberFormat="1" applyFont="1" applyFill="1" applyBorder="1" applyAlignment="1" applyProtection="1">
      <alignment horizontal="center"/>
      <protection locked="0"/>
    </xf>
    <xf numFmtId="174" fontId="96" fillId="16" borderId="0" xfId="2" applyNumberFormat="1" applyFont="1" applyFill="1" applyBorder="1" applyAlignment="1" applyProtection="1">
      <alignment horizontal="center"/>
      <protection locked="0"/>
    </xf>
    <xf numFmtId="172" fontId="117" fillId="16" borderId="0" xfId="2" applyNumberFormat="1" applyFont="1" applyFill="1" applyBorder="1" applyAlignment="1" applyProtection="1">
      <alignment horizontal="right"/>
      <protection locked="0"/>
    </xf>
    <xf numFmtId="0" fontId="36" fillId="16" borderId="0" xfId="0" applyFont="1" applyFill="1" applyBorder="1" applyProtection="1">
      <protection locked="0"/>
    </xf>
    <xf numFmtId="173" fontId="117" fillId="16" borderId="0" xfId="0" applyNumberFormat="1" applyFont="1" applyFill="1" applyBorder="1" applyProtection="1">
      <protection locked="0"/>
    </xf>
    <xf numFmtId="0" fontId="55" fillId="16" borderId="0" xfId="0" quotePrefix="1" applyFont="1" applyFill="1" applyBorder="1" applyAlignment="1" applyProtection="1">
      <alignment horizontal="right"/>
      <protection locked="0"/>
    </xf>
    <xf numFmtId="0" fontId="119" fillId="16" borderId="0" xfId="0" applyFont="1" applyFill="1" applyBorder="1" applyProtection="1">
      <protection locked="0"/>
    </xf>
    <xf numFmtId="0" fontId="0" fillId="16" borderId="0" xfId="0" applyFill="1" applyBorder="1" applyAlignment="1" applyProtection="1">
      <alignment horizontal="right"/>
      <protection locked="0"/>
    </xf>
    <xf numFmtId="0" fontId="104" fillId="16" borderId="0" xfId="0" applyFont="1" applyFill="1" applyBorder="1" applyAlignment="1" applyProtection="1">
      <alignment horizontal="right"/>
      <protection locked="0"/>
    </xf>
    <xf numFmtId="0" fontId="118" fillId="16" borderId="0" xfId="0" applyFont="1" applyFill="1" applyBorder="1" applyProtection="1">
      <protection locked="0"/>
    </xf>
    <xf numFmtId="0" fontId="0" fillId="16" borderId="0" xfId="0" quotePrefix="1" applyFill="1" applyProtection="1">
      <protection locked="0"/>
    </xf>
    <xf numFmtId="0" fontId="56" fillId="16" borderId="0" xfId="0" applyFont="1" applyFill="1" applyProtection="1">
      <protection locked="0"/>
    </xf>
    <xf numFmtId="0" fontId="53" fillId="16" borderId="0" xfId="0" applyFont="1" applyFill="1" applyAlignment="1" applyProtection="1">
      <alignment horizontal="right"/>
      <protection locked="0"/>
    </xf>
    <xf numFmtId="0" fontId="0" fillId="16" borderId="0" xfId="0" quotePrefix="1" applyFill="1" applyAlignment="1" applyProtection="1">
      <alignment horizontal="center"/>
      <protection locked="0"/>
    </xf>
    <xf numFmtId="175" fontId="0" fillId="16" borderId="0" xfId="0" applyNumberFormat="1" applyFill="1" applyProtection="1">
      <protection locked="0"/>
    </xf>
    <xf numFmtId="44" fontId="34" fillId="2" borderId="1" xfId="3" applyFont="1" applyFill="1" applyBorder="1" applyProtection="1">
      <protection locked="0"/>
    </xf>
    <xf numFmtId="0" fontId="105" fillId="2" borderId="1" xfId="0" quotePrefix="1" applyFont="1" applyFill="1" applyBorder="1" applyProtection="1">
      <protection locked="0"/>
    </xf>
    <xf numFmtId="166" fontId="56" fillId="2" borderId="1" xfId="2" applyNumberFormat="1" applyFont="1" applyFill="1" applyBorder="1" applyProtection="1">
      <protection locked="0"/>
    </xf>
    <xf numFmtId="44" fontId="30" fillId="2" borderId="1" xfId="3" applyFont="1" applyFill="1" applyBorder="1" applyProtection="1">
      <protection locked="0"/>
    </xf>
    <xf numFmtId="2" fontId="105" fillId="2" borderId="1" xfId="0" quotePrefix="1" applyNumberFormat="1" applyFont="1" applyFill="1" applyBorder="1" applyProtection="1">
      <protection locked="0"/>
    </xf>
    <xf numFmtId="44" fontId="34" fillId="2" borderId="1" xfId="3" quotePrefix="1" applyFont="1" applyFill="1" applyBorder="1" applyProtection="1">
      <protection locked="0"/>
    </xf>
    <xf numFmtId="164" fontId="105" fillId="2" borderId="1" xfId="2" applyNumberFormat="1" applyFont="1" applyFill="1" applyBorder="1" applyProtection="1">
      <protection locked="0"/>
    </xf>
    <xf numFmtId="0" fontId="55" fillId="11" borderId="0" xfId="0" applyFont="1" applyFill="1" applyProtection="1">
      <protection locked="0"/>
    </xf>
    <xf numFmtId="0" fontId="92" fillId="11" borderId="0" xfId="0" applyFont="1" applyFill="1" applyProtection="1">
      <protection locked="0"/>
    </xf>
    <xf numFmtId="0" fontId="0" fillId="11" borderId="0" xfId="0" applyFill="1" applyAlignment="1" applyProtection="1">
      <alignment vertical="top"/>
      <protection locked="0"/>
    </xf>
    <xf numFmtId="0" fontId="39" fillId="11" borderId="0" xfId="0" quotePrefix="1" applyFont="1" applyFill="1" applyBorder="1" applyProtection="1">
      <protection locked="0"/>
    </xf>
    <xf numFmtId="164" fontId="114" fillId="11" borderId="0" xfId="0" applyNumberFormat="1" applyFont="1" applyFill="1" applyProtection="1">
      <protection locked="0"/>
    </xf>
    <xf numFmtId="166" fontId="34" fillId="11" borderId="0" xfId="2" quotePrefix="1" applyNumberFormat="1" applyFont="1" applyFill="1" applyBorder="1" applyProtection="1">
      <protection locked="0"/>
    </xf>
    <xf numFmtId="164" fontId="118" fillId="11" borderId="0" xfId="0" applyNumberFormat="1" applyFont="1" applyFill="1" applyProtection="1">
      <protection locked="0"/>
    </xf>
    <xf numFmtId="1" fontId="56" fillId="11" borderId="0" xfId="0" applyNumberFormat="1" applyFont="1" applyFill="1" applyBorder="1" applyAlignment="1" applyProtection="1">
      <alignment horizontal="left"/>
      <protection locked="0"/>
    </xf>
    <xf numFmtId="0" fontId="44" fillId="11" borderId="0" xfId="0" applyFont="1" applyFill="1" applyBorder="1" applyProtection="1">
      <protection locked="0"/>
    </xf>
    <xf numFmtId="0" fontId="43" fillId="16" borderId="0" xfId="0" quotePrefix="1" applyFont="1" applyFill="1" applyProtection="1">
      <protection locked="0"/>
    </xf>
    <xf numFmtId="0" fontId="44" fillId="11" borderId="0" xfId="0" applyFont="1" applyFill="1" applyProtection="1">
      <protection locked="0"/>
    </xf>
    <xf numFmtId="0" fontId="108" fillId="11" borderId="0" xfId="0" quotePrefix="1" applyFont="1" applyFill="1" applyBorder="1" applyProtection="1">
      <protection locked="0"/>
    </xf>
    <xf numFmtId="0" fontId="43" fillId="11" borderId="0" xfId="0" quotePrefix="1" applyFont="1" applyFill="1" applyBorder="1" applyProtection="1">
      <protection locked="0"/>
    </xf>
    <xf numFmtId="0" fontId="44" fillId="11" borderId="0" xfId="0" quotePrefix="1" applyFont="1" applyFill="1" applyBorder="1" applyProtection="1">
      <protection locked="0"/>
    </xf>
    <xf numFmtId="0" fontId="96" fillId="11" borderId="0" xfId="0" applyFont="1" applyFill="1" applyBorder="1" applyAlignment="1" applyProtection="1">
      <alignment horizontal="center"/>
      <protection locked="0"/>
    </xf>
    <xf numFmtId="0" fontId="0" fillId="11" borderId="0" xfId="0" applyFill="1" applyBorder="1"/>
    <xf numFmtId="170" fontId="118" fillId="16" borderId="0" xfId="0" applyNumberFormat="1" applyFont="1" applyFill="1" applyAlignment="1" applyProtection="1">
      <alignment horizontal="left"/>
      <protection locked="0"/>
    </xf>
    <xf numFmtId="169" fontId="121" fillId="16" borderId="29" xfId="0" applyNumberFormat="1" applyFont="1" applyFill="1" applyBorder="1" applyProtection="1">
      <protection locked="0"/>
    </xf>
    <xf numFmtId="170" fontId="125" fillId="16" borderId="29" xfId="2" quotePrefix="1" applyNumberFormat="1" applyFont="1" applyFill="1" applyBorder="1" applyAlignment="1" applyProtection="1">
      <protection locked="0"/>
    </xf>
    <xf numFmtId="170" fontId="125" fillId="16" borderId="29" xfId="2" quotePrefix="1" applyNumberFormat="1" applyFont="1" applyFill="1" applyBorder="1" applyAlignment="1" applyProtection="1">
      <alignment horizontal="center"/>
      <protection locked="0"/>
    </xf>
    <xf numFmtId="164" fontId="126" fillId="16" borderId="29" xfId="2" quotePrefix="1" applyNumberFormat="1" applyFont="1" applyFill="1" applyBorder="1" applyAlignment="1" applyProtection="1">
      <protection locked="0"/>
    </xf>
    <xf numFmtId="0" fontId="125" fillId="16" borderId="29" xfId="0" quotePrefix="1" applyFont="1" applyFill="1" applyBorder="1" applyAlignment="1" applyProtection="1">
      <alignment horizontal="center"/>
      <protection locked="0"/>
    </xf>
    <xf numFmtId="169" fontId="121" fillId="16" borderId="29" xfId="0" applyNumberFormat="1" applyFont="1" applyFill="1" applyBorder="1" applyAlignment="1" applyProtection="1">
      <alignment horizontal="left"/>
      <protection locked="0"/>
    </xf>
    <xf numFmtId="0" fontId="125" fillId="16" borderId="29" xfId="0" applyFont="1" applyFill="1" applyBorder="1" applyAlignment="1" applyProtection="1">
      <alignment horizontal="left"/>
      <protection locked="0"/>
    </xf>
    <xf numFmtId="164" fontId="121" fillId="16" borderId="34" xfId="0" applyNumberFormat="1" applyFont="1" applyFill="1" applyBorder="1" applyAlignment="1" applyProtection="1">
      <protection locked="0"/>
    </xf>
    <xf numFmtId="0" fontId="125" fillId="16" borderId="0" xfId="0" quotePrefix="1" applyFont="1" applyFill="1" applyBorder="1" applyAlignment="1" applyProtection="1">
      <alignment horizontal="right"/>
      <protection locked="0"/>
    </xf>
    <xf numFmtId="0" fontId="127" fillId="16" borderId="30" xfId="0" applyFont="1" applyFill="1" applyBorder="1" applyProtection="1">
      <protection locked="0"/>
    </xf>
    <xf numFmtId="0" fontId="127" fillId="16" borderId="28" xfId="0" applyFont="1" applyFill="1" applyBorder="1" applyProtection="1">
      <protection locked="0"/>
    </xf>
    <xf numFmtId="0" fontId="128" fillId="16" borderId="28" xfId="0" applyFont="1" applyFill="1" applyBorder="1" applyProtection="1">
      <protection locked="0"/>
    </xf>
    <xf numFmtId="1" fontId="129" fillId="16" borderId="28" xfId="0" quotePrefix="1" applyNumberFormat="1" applyFont="1" applyFill="1" applyBorder="1" applyAlignment="1" applyProtection="1">
      <alignment horizontal="right"/>
      <protection locked="0"/>
    </xf>
    <xf numFmtId="1" fontId="130" fillId="16" borderId="31" xfId="0" quotePrefix="1" applyNumberFormat="1" applyFont="1" applyFill="1" applyBorder="1" applyAlignment="1" applyProtection="1">
      <alignment horizontal="left"/>
      <protection locked="0"/>
    </xf>
    <xf numFmtId="0" fontId="125" fillId="16" borderId="0" xfId="0" quotePrefix="1" applyFont="1" applyFill="1" applyBorder="1" applyProtection="1">
      <protection locked="0"/>
    </xf>
    <xf numFmtId="170" fontId="125" fillId="16" borderId="33" xfId="2" quotePrefix="1" applyNumberFormat="1" applyFont="1" applyFill="1" applyBorder="1" applyAlignment="1" applyProtection="1">
      <alignment horizontal="right"/>
      <protection locked="0"/>
    </xf>
    <xf numFmtId="166" fontId="131" fillId="16" borderId="29" xfId="2" applyNumberFormat="1" applyFont="1" applyFill="1" applyBorder="1" applyAlignment="1" applyProtection="1">
      <alignment horizontal="right"/>
      <protection locked="0"/>
    </xf>
    <xf numFmtId="170" fontId="126" fillId="16" borderId="29" xfId="2" quotePrefix="1" applyNumberFormat="1" applyFont="1" applyFill="1" applyBorder="1" applyAlignment="1" applyProtection="1">
      <alignment horizontal="right"/>
      <protection locked="0"/>
    </xf>
    <xf numFmtId="0" fontId="27" fillId="16" borderId="29" xfId="0" applyFont="1" applyFill="1" applyBorder="1" applyAlignment="1" applyProtection="1">
      <alignment horizontal="center"/>
      <protection locked="0"/>
    </xf>
    <xf numFmtId="0" fontId="121" fillId="16" borderId="29" xfId="0" applyFont="1" applyFill="1" applyBorder="1" applyProtection="1">
      <protection locked="0"/>
    </xf>
    <xf numFmtId="170" fontId="125" fillId="16" borderId="34" xfId="2" quotePrefix="1" applyNumberFormat="1" applyFont="1" applyFill="1" applyBorder="1" applyAlignment="1" applyProtection="1">
      <alignment horizontal="right"/>
      <protection locked="0"/>
    </xf>
    <xf numFmtId="170" fontId="125" fillId="16" borderId="0" xfId="2" quotePrefix="1" applyNumberFormat="1" applyFont="1" applyFill="1" applyBorder="1" applyAlignment="1" applyProtection="1">
      <alignment horizontal="right"/>
      <protection locked="0"/>
    </xf>
    <xf numFmtId="166" fontId="131" fillId="16" borderId="0" xfId="2" applyNumberFormat="1" applyFont="1" applyFill="1" applyBorder="1" applyAlignment="1" applyProtection="1">
      <alignment horizontal="right"/>
      <protection locked="0"/>
    </xf>
    <xf numFmtId="170" fontId="126" fillId="16" borderId="0" xfId="2" quotePrefix="1" applyNumberFormat="1" applyFont="1" applyFill="1" applyBorder="1" applyAlignment="1" applyProtection="1">
      <alignment horizontal="right"/>
      <protection locked="0"/>
    </xf>
    <xf numFmtId="0" fontId="27" fillId="16" borderId="0" xfId="0" applyFont="1" applyFill="1" applyBorder="1" applyAlignment="1" applyProtection="1">
      <alignment horizontal="center"/>
      <protection locked="0"/>
    </xf>
    <xf numFmtId="0" fontId="121" fillId="16" borderId="0" xfId="0" applyFont="1" applyFill="1" applyBorder="1" applyProtection="1">
      <protection locked="0"/>
    </xf>
    <xf numFmtId="0" fontId="125" fillId="16" borderId="0" xfId="0" applyFont="1" applyFill="1" applyBorder="1" applyAlignment="1" applyProtection="1">
      <alignment horizontal="left"/>
      <protection locked="0"/>
    </xf>
    <xf numFmtId="170" fontId="125" fillId="16" borderId="28" xfId="2" quotePrefix="1" applyNumberFormat="1" applyFont="1" applyFill="1" applyBorder="1" applyAlignment="1" applyProtection="1">
      <alignment horizontal="right"/>
      <protection locked="0"/>
    </xf>
    <xf numFmtId="166" fontId="131" fillId="16" borderId="28" xfId="2" applyNumberFormat="1" applyFont="1" applyFill="1" applyBorder="1" applyAlignment="1" applyProtection="1">
      <alignment horizontal="right"/>
      <protection locked="0"/>
    </xf>
    <xf numFmtId="170" fontId="126" fillId="16" borderId="28" xfId="2" quotePrefix="1" applyNumberFormat="1" applyFont="1" applyFill="1" applyBorder="1" applyAlignment="1" applyProtection="1">
      <alignment horizontal="right"/>
      <protection locked="0"/>
    </xf>
    <xf numFmtId="0" fontId="27" fillId="16" borderId="28" xfId="0" applyFont="1" applyFill="1" applyBorder="1" applyAlignment="1" applyProtection="1">
      <alignment horizontal="center"/>
      <protection locked="0"/>
    </xf>
    <xf numFmtId="0" fontId="121" fillId="16" borderId="28" xfId="0" applyFont="1" applyFill="1" applyBorder="1" applyProtection="1">
      <protection locked="0"/>
    </xf>
    <xf numFmtId="0" fontId="125" fillId="16" borderId="28" xfId="0" applyFont="1" applyFill="1" applyBorder="1" applyAlignment="1" applyProtection="1">
      <alignment horizontal="left"/>
      <protection locked="0"/>
    </xf>
    <xf numFmtId="171" fontId="129" fillId="16" borderId="31" xfId="2" quotePrefix="1" applyNumberFormat="1" applyFont="1" applyFill="1" applyBorder="1" applyAlignment="1" applyProtection="1">
      <alignment horizontal="center"/>
      <protection locked="0"/>
    </xf>
    <xf numFmtId="0" fontId="128" fillId="16" borderId="33" xfId="0" applyFont="1" applyFill="1" applyBorder="1" applyProtection="1">
      <protection locked="0"/>
    </xf>
    <xf numFmtId="0" fontId="125" fillId="16" borderId="29" xfId="0" quotePrefix="1" applyFont="1" applyFill="1" applyBorder="1" applyAlignment="1" applyProtection="1">
      <alignment horizontal="left"/>
      <protection locked="0"/>
    </xf>
    <xf numFmtId="0" fontId="125" fillId="16" borderId="29" xfId="0" quotePrefix="1" applyFont="1" applyFill="1" applyBorder="1" applyProtection="1">
      <protection locked="0"/>
    </xf>
    <xf numFmtId="0" fontId="121" fillId="16" borderId="34" xfId="0" applyFont="1" applyFill="1" applyBorder="1" applyAlignment="1" applyProtection="1">
      <alignment horizontal="left"/>
      <protection locked="0"/>
    </xf>
    <xf numFmtId="170" fontId="125" fillId="16" borderId="0" xfId="2" quotePrefix="1" applyNumberFormat="1" applyFont="1" applyFill="1" applyBorder="1" applyAlignment="1" applyProtection="1">
      <protection locked="0"/>
    </xf>
    <xf numFmtId="170" fontId="125" fillId="16" borderId="0" xfId="2" quotePrefix="1" applyNumberFormat="1" applyFont="1" applyFill="1" applyBorder="1" applyAlignment="1" applyProtection="1">
      <alignment horizontal="center"/>
      <protection locked="0"/>
    </xf>
    <xf numFmtId="164" fontId="126" fillId="16" borderId="0" xfId="2" quotePrefix="1" applyNumberFormat="1" applyFont="1" applyFill="1" applyBorder="1" applyAlignment="1" applyProtection="1">
      <protection locked="0"/>
    </xf>
    <xf numFmtId="0" fontId="125" fillId="16" borderId="0" xfId="0" quotePrefix="1" applyFont="1" applyFill="1" applyBorder="1" applyAlignment="1" applyProtection="1">
      <alignment horizontal="center"/>
      <protection locked="0"/>
    </xf>
    <xf numFmtId="0" fontId="125" fillId="16" borderId="0" xfId="0" quotePrefix="1" applyFont="1" applyFill="1" applyBorder="1" applyAlignment="1" applyProtection="1">
      <alignment horizontal="left"/>
      <protection locked="0"/>
    </xf>
    <xf numFmtId="0" fontId="121" fillId="16" borderId="0" xfId="0" applyFont="1" applyFill="1" applyBorder="1" applyAlignment="1" applyProtection="1">
      <alignment horizontal="left"/>
      <protection locked="0"/>
    </xf>
    <xf numFmtId="166" fontId="129" fillId="16" borderId="28" xfId="0" applyNumberFormat="1" applyFont="1" applyFill="1" applyBorder="1" applyAlignment="1" applyProtection="1">
      <alignment horizontal="center"/>
      <protection locked="0"/>
    </xf>
    <xf numFmtId="166" fontId="129" fillId="16" borderId="28" xfId="0" applyNumberFormat="1" applyFont="1" applyFill="1" applyBorder="1" applyAlignment="1" applyProtection="1">
      <protection locked="0"/>
    </xf>
    <xf numFmtId="0" fontId="128" fillId="16" borderId="31" xfId="0" applyFont="1" applyFill="1" applyBorder="1" applyProtection="1">
      <protection locked="0"/>
    </xf>
    <xf numFmtId="0" fontId="125" fillId="16" borderId="33" xfId="0" applyFont="1" applyFill="1" applyBorder="1" applyProtection="1">
      <protection locked="0"/>
    </xf>
    <xf numFmtId="168" fontId="131" fillId="16" borderId="29" xfId="2" applyNumberFormat="1" applyFont="1" applyFill="1" applyBorder="1" applyAlignment="1" applyProtection="1">
      <alignment horizontal="center"/>
      <protection locked="0"/>
    </xf>
    <xf numFmtId="170" fontId="125" fillId="16" borderId="29" xfId="2" quotePrefix="1" applyNumberFormat="1" applyFont="1" applyFill="1" applyBorder="1" applyAlignment="1" applyProtection="1">
      <alignment horizontal="right"/>
      <protection locked="0"/>
    </xf>
    <xf numFmtId="170" fontId="125" fillId="16" borderId="29" xfId="2" applyNumberFormat="1" applyFont="1" applyFill="1" applyBorder="1" applyAlignment="1" applyProtection="1">
      <alignment horizontal="left"/>
      <protection locked="0"/>
    </xf>
    <xf numFmtId="0" fontId="126" fillId="16" borderId="29" xfId="0" quotePrefix="1" applyFont="1" applyFill="1" applyBorder="1" applyAlignment="1" applyProtection="1">
      <alignment horizontal="center"/>
      <protection locked="0"/>
    </xf>
    <xf numFmtId="0" fontId="128" fillId="16" borderId="29" xfId="0" applyFont="1" applyFill="1" applyBorder="1" applyProtection="1">
      <protection locked="0"/>
    </xf>
    <xf numFmtId="171" fontId="129" fillId="16" borderId="34" xfId="2" quotePrefix="1" applyNumberFormat="1" applyFont="1" applyFill="1" applyBorder="1" applyAlignment="1" applyProtection="1">
      <alignment horizontal="center"/>
      <protection locked="0"/>
    </xf>
    <xf numFmtId="0" fontId="52" fillId="11" borderId="1" xfId="2" applyNumberFormat="1" applyFont="1" applyFill="1" applyBorder="1" applyAlignment="1" applyProtection="1">
      <alignment horizontal="center" vertical="center"/>
      <protection locked="0"/>
    </xf>
    <xf numFmtId="0" fontId="49" fillId="11" borderId="1" xfId="2" applyNumberFormat="1" applyFont="1" applyFill="1" applyBorder="1" applyAlignment="1" applyProtection="1">
      <alignment horizontal="center" vertical="center"/>
      <protection locked="0"/>
    </xf>
    <xf numFmtId="0" fontId="42" fillId="11" borderId="1" xfId="2" applyNumberFormat="1" applyFont="1" applyFill="1" applyBorder="1" applyAlignment="1" applyProtection="1">
      <alignment horizontal="center"/>
      <protection locked="0"/>
    </xf>
    <xf numFmtId="0" fontId="132" fillId="15" borderId="0" xfId="2" applyNumberFormat="1" applyFont="1" applyFill="1" applyBorder="1" applyAlignment="1" applyProtection="1">
      <alignment horizontal="center"/>
      <protection locked="0"/>
    </xf>
    <xf numFmtId="0" fontId="16" fillId="11" borderId="2" xfId="0" applyFont="1" applyFill="1" applyBorder="1"/>
    <xf numFmtId="0" fontId="123" fillId="10" borderId="0" xfId="0" applyFont="1" applyFill="1" applyBorder="1" applyAlignment="1">
      <alignment vertical="top" wrapText="1"/>
    </xf>
    <xf numFmtId="0" fontId="16" fillId="13" borderId="0" xfId="0" applyFont="1" applyFill="1"/>
    <xf numFmtId="4" fontId="123" fillId="11" borderId="1" xfId="0" applyNumberFormat="1" applyFont="1" applyFill="1" applyBorder="1" applyAlignment="1">
      <alignment horizontal="left"/>
    </xf>
    <xf numFmtId="4" fontId="137" fillId="11" borderId="1" xfId="0" applyNumberFormat="1" applyFont="1" applyFill="1" applyBorder="1" applyAlignment="1">
      <alignment horizontal="left"/>
    </xf>
    <xf numFmtId="4" fontId="137" fillId="11" borderId="0" xfId="0" applyNumberFormat="1" applyFont="1" applyFill="1" applyBorder="1" applyAlignment="1">
      <alignment horizontal="center"/>
    </xf>
    <xf numFmtId="0" fontId="16" fillId="10" borderId="0" xfId="0" applyFont="1" applyFill="1" applyBorder="1"/>
    <xf numFmtId="4" fontId="136" fillId="11" borderId="1" xfId="0" applyNumberFormat="1" applyFont="1" applyFill="1" applyBorder="1" applyAlignment="1">
      <alignment horizontal="left"/>
    </xf>
    <xf numFmtId="4" fontId="142" fillId="11" borderId="1" xfId="0" applyNumberFormat="1" applyFont="1" applyFill="1" applyBorder="1" applyAlignment="1">
      <alignment horizontal="left"/>
    </xf>
    <xf numFmtId="0" fontId="16" fillId="11" borderId="0" xfId="0" applyFont="1" applyFill="1" applyBorder="1"/>
    <xf numFmtId="4" fontId="140" fillId="11" borderId="0" xfId="0" applyNumberFormat="1" applyFont="1" applyFill="1" applyBorder="1"/>
    <xf numFmtId="0" fontId="68" fillId="11" borderId="0" xfId="0" applyFont="1" applyFill="1" applyBorder="1" applyAlignment="1">
      <alignment horizontal="center"/>
    </xf>
    <xf numFmtId="4" fontId="123" fillId="11" borderId="0" xfId="0" applyNumberFormat="1" applyFont="1" applyFill="1" applyBorder="1" applyAlignment="1">
      <alignment horizontal="center"/>
    </xf>
    <xf numFmtId="4" fontId="133" fillId="11" borderId="0" xfId="0" applyNumberFormat="1" applyFont="1" applyFill="1" applyBorder="1" applyAlignment="1">
      <alignment horizontal="center"/>
    </xf>
    <xf numFmtId="0" fontId="16" fillId="16" borderId="0" xfId="0" applyFont="1" applyFill="1"/>
    <xf numFmtId="0" fontId="16" fillId="10" borderId="14" xfId="0" applyFont="1" applyFill="1" applyBorder="1"/>
    <xf numFmtId="0" fontId="16" fillId="10" borderId="21" xfId="0" applyFont="1" applyFill="1" applyBorder="1"/>
    <xf numFmtId="0" fontId="16" fillId="10" borderId="13" xfId="0" applyFont="1" applyFill="1" applyBorder="1"/>
    <xf numFmtId="0" fontId="16" fillId="10" borderId="11" xfId="0" applyFont="1" applyFill="1" applyBorder="1"/>
    <xf numFmtId="0" fontId="16" fillId="10" borderId="12" xfId="0" applyFont="1" applyFill="1" applyBorder="1"/>
    <xf numFmtId="0" fontId="16" fillId="10" borderId="17" xfId="0" applyFont="1" applyFill="1" applyBorder="1"/>
    <xf numFmtId="0" fontId="68" fillId="10" borderId="9" xfId="0" applyFont="1" applyFill="1" applyBorder="1"/>
    <xf numFmtId="0" fontId="68" fillId="10" borderId="10" xfId="0" applyFont="1" applyFill="1" applyBorder="1"/>
    <xf numFmtId="0" fontId="68" fillId="10" borderId="13" xfId="0" applyFont="1" applyFill="1" applyBorder="1" applyAlignment="1">
      <alignment horizontal="right"/>
    </xf>
    <xf numFmtId="0" fontId="16" fillId="10" borderId="13" xfId="0" applyFont="1" applyFill="1" applyBorder="1" applyAlignment="1">
      <alignment horizontal="right"/>
    </xf>
    <xf numFmtId="0" fontId="68" fillId="10" borderId="12" xfId="0" applyFont="1" applyFill="1" applyBorder="1"/>
    <xf numFmtId="0" fontId="123" fillId="10" borderId="9" xfId="0" applyFont="1" applyFill="1" applyBorder="1" applyAlignment="1">
      <alignment horizontal="left"/>
    </xf>
    <xf numFmtId="0" fontId="123" fillId="10" borderId="10" xfId="0" applyFont="1" applyFill="1" applyBorder="1" applyAlignment="1">
      <alignment horizontal="center"/>
    </xf>
    <xf numFmtId="0" fontId="123" fillId="10" borderId="13" xfId="0" applyFont="1" applyFill="1" applyBorder="1" applyAlignment="1">
      <alignment horizontal="right"/>
    </xf>
    <xf numFmtId="0" fontId="16" fillId="10" borderId="12" xfId="0" applyFont="1" applyFill="1" applyBorder="1" applyAlignment="1"/>
    <xf numFmtId="0" fontId="68" fillId="10" borderId="13" xfId="0" applyFont="1" applyFill="1" applyBorder="1" applyAlignment="1">
      <alignment horizontal="center"/>
    </xf>
    <xf numFmtId="0" fontId="123" fillId="10" borderId="13" xfId="0" applyFont="1" applyFill="1" applyBorder="1" applyAlignment="1">
      <alignment horizontal="center"/>
    </xf>
    <xf numFmtId="0" fontId="123" fillId="11" borderId="21" xfId="0" applyFont="1" applyFill="1" applyBorder="1" applyAlignment="1">
      <alignment horizontal="center"/>
    </xf>
    <xf numFmtId="0" fontId="123" fillId="10" borderId="10" xfId="0" applyFont="1" applyFill="1" applyBorder="1"/>
    <xf numFmtId="0" fontId="123" fillId="10" borderId="14" xfId="0" applyFont="1" applyFill="1" applyBorder="1"/>
    <xf numFmtId="0" fontId="123" fillId="10" borderId="13" xfId="0" applyFont="1" applyFill="1" applyBorder="1" applyAlignment="1">
      <alignment vertical="top"/>
    </xf>
    <xf numFmtId="0" fontId="135" fillId="10" borderId="0" xfId="0" applyFont="1" applyFill="1" applyBorder="1"/>
    <xf numFmtId="2" fontId="16" fillId="10" borderId="0" xfId="0" applyNumberFormat="1" applyFont="1" applyFill="1" applyBorder="1"/>
    <xf numFmtId="0" fontId="135" fillId="10" borderId="13" xfId="0" applyFont="1" applyFill="1" applyBorder="1"/>
    <xf numFmtId="0" fontId="123" fillId="10" borderId="21" xfId="0" applyFont="1" applyFill="1" applyBorder="1"/>
    <xf numFmtId="0" fontId="134" fillId="10" borderId="13" xfId="0" applyFont="1" applyFill="1" applyBorder="1"/>
    <xf numFmtId="4" fontId="141" fillId="10" borderId="0" xfId="0" applyNumberFormat="1" applyFont="1" applyFill="1" applyBorder="1"/>
    <xf numFmtId="0" fontId="139" fillId="10" borderId="0" xfId="0" applyFont="1" applyFill="1" applyBorder="1"/>
    <xf numFmtId="0" fontId="139" fillId="10" borderId="0" xfId="0" applyFont="1" applyFill="1" applyBorder="1" applyAlignment="1"/>
    <xf numFmtId="4" fontId="142" fillId="11" borderId="0" xfId="0" applyNumberFormat="1" applyFont="1" applyFill="1" applyBorder="1" applyAlignment="1">
      <alignment horizontal="right"/>
    </xf>
    <xf numFmtId="4" fontId="142" fillId="11" borderId="21" xfId="0" applyNumberFormat="1" applyFont="1" applyFill="1" applyBorder="1" applyAlignment="1">
      <alignment horizontal="right"/>
    </xf>
    <xf numFmtId="4" fontId="143" fillId="10" borderId="9" xfId="0" applyNumberFormat="1" applyFont="1" applyFill="1" applyBorder="1" applyAlignment="1">
      <alignment horizontal="left"/>
    </xf>
    <xf numFmtId="4" fontId="143" fillId="10" borderId="10" xfId="0" applyNumberFormat="1" applyFont="1" applyFill="1" applyBorder="1" applyAlignment="1">
      <alignment horizontal="center"/>
    </xf>
    <xf numFmtId="0" fontId="145" fillId="10" borderId="10" xfId="0" applyFont="1" applyFill="1" applyBorder="1" applyAlignment="1">
      <alignment horizontal="center"/>
    </xf>
    <xf numFmtId="0" fontId="143" fillId="10" borderId="11" xfId="0" applyFont="1" applyFill="1" applyBorder="1"/>
    <xf numFmtId="0" fontId="145" fillId="10" borderId="12" xfId="0" applyFont="1" applyFill="1" applyBorder="1"/>
    <xf numFmtId="0" fontId="145" fillId="10" borderId="13" xfId="0" applyFont="1" applyFill="1" applyBorder="1" applyAlignment="1">
      <alignment horizontal="right"/>
    </xf>
    <xf numFmtId="0" fontId="143" fillId="10" borderId="10" xfId="0" applyFont="1" applyFill="1" applyBorder="1" applyAlignment="1">
      <alignment horizontal="center"/>
    </xf>
    <xf numFmtId="0" fontId="144" fillId="10" borderId="13" xfId="0" applyFont="1" applyFill="1" applyBorder="1" applyAlignment="1">
      <alignment horizontal="right"/>
    </xf>
    <xf numFmtId="4" fontId="140" fillId="10" borderId="0" xfId="0" applyNumberFormat="1" applyFont="1" applyFill="1" applyBorder="1" applyAlignment="1">
      <alignment horizontal="left"/>
    </xf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5" fillId="18" borderId="1" xfId="0" applyFont="1" applyFill="1" applyBorder="1"/>
    <xf numFmtId="0" fontId="5" fillId="17" borderId="0" xfId="0" applyFont="1" applyFill="1"/>
    <xf numFmtId="0" fontId="5" fillId="3" borderId="1" xfId="0" applyFont="1" applyFill="1" applyBorder="1"/>
    <xf numFmtId="0" fontId="5" fillId="4" borderId="0" xfId="0" applyFont="1" applyFill="1" applyAlignment="1">
      <alignment horizontal="right"/>
    </xf>
    <xf numFmtId="0" fontId="5" fillId="2" borderId="0" xfId="0" applyFont="1" applyFill="1" applyAlignment="1">
      <alignment vertical="top"/>
    </xf>
    <xf numFmtId="0" fontId="146" fillId="11" borderId="0" xfId="0" applyFont="1" applyFill="1"/>
    <xf numFmtId="0" fontId="70" fillId="11" borderId="0" xfId="0" applyFont="1" applyFill="1"/>
    <xf numFmtId="0" fontId="149" fillId="4" borderId="0" xfId="2" applyNumberFormat="1" applyFont="1" applyFill="1" applyBorder="1" applyAlignment="1" applyProtection="1">
      <alignment horizontal="center"/>
      <protection locked="0"/>
    </xf>
    <xf numFmtId="0" fontId="150" fillId="11" borderId="0" xfId="0" applyFont="1" applyFill="1"/>
    <xf numFmtId="0" fontId="0" fillId="19" borderId="0" xfId="0" applyFill="1"/>
    <xf numFmtId="0" fontId="23" fillId="19" borderId="0" xfId="0" applyFont="1" applyFill="1"/>
    <xf numFmtId="0" fontId="0" fillId="19" borderId="0" xfId="0" applyFill="1" applyBorder="1"/>
    <xf numFmtId="0" fontId="23" fillId="19" borderId="0" xfId="0" applyFont="1" applyFill="1" applyBorder="1"/>
    <xf numFmtId="0" fontId="0" fillId="2" borderId="0" xfId="0" applyFill="1" applyBorder="1"/>
    <xf numFmtId="0" fontId="23" fillId="2" borderId="0" xfId="0" applyFont="1" applyFill="1" applyBorder="1"/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right" vertical="top"/>
    </xf>
    <xf numFmtId="0" fontId="152" fillId="0" borderId="0" xfId="0" applyFont="1"/>
    <xf numFmtId="0" fontId="153" fillId="2" borderId="0" xfId="0" applyFont="1" applyFill="1"/>
    <xf numFmtId="0" fontId="153" fillId="2" borderId="0" xfId="0" applyFont="1" applyFill="1" applyBorder="1"/>
    <xf numFmtId="0" fontId="153" fillId="2" borderId="0" xfId="0" applyFont="1" applyFill="1" applyAlignment="1">
      <alignment vertical="center"/>
    </xf>
    <xf numFmtId="0" fontId="153" fillId="2" borderId="0" xfId="0" applyFont="1" applyFill="1" applyBorder="1" applyAlignment="1">
      <alignment vertical="center"/>
    </xf>
    <xf numFmtId="0" fontId="153" fillId="2" borderId="0" xfId="0" applyFont="1" applyFill="1" applyBorder="1" applyAlignment="1">
      <alignment horizontal="center"/>
    </xf>
    <xf numFmtId="0" fontId="153" fillId="2" borderId="0" xfId="0" applyFont="1" applyFill="1" applyBorder="1" applyAlignment="1">
      <alignment horizontal="center" vertical="center"/>
    </xf>
    <xf numFmtId="0" fontId="153" fillId="2" borderId="0" xfId="0" applyFont="1" applyFill="1" applyBorder="1" applyAlignment="1"/>
    <xf numFmtId="0" fontId="162" fillId="2" borderId="28" xfId="0" applyFont="1" applyFill="1" applyBorder="1"/>
    <xf numFmtId="0" fontId="163" fillId="2" borderId="30" xfId="0" applyFont="1" applyFill="1" applyBorder="1"/>
    <xf numFmtId="0" fontId="158" fillId="2" borderId="0" xfId="0" applyFont="1" applyFill="1" applyAlignment="1">
      <alignment horizontal="center"/>
    </xf>
    <xf numFmtId="0" fontId="153" fillId="2" borderId="0" xfId="0" applyFont="1" applyFill="1" applyAlignment="1"/>
    <xf numFmtId="0" fontId="153" fillId="2" borderId="29" xfId="0" applyFont="1" applyFill="1" applyBorder="1" applyAlignment="1">
      <alignment horizontal="center"/>
    </xf>
    <xf numFmtId="0" fontId="153" fillId="2" borderId="0" xfId="0" applyFont="1" applyFill="1" applyBorder="1" applyAlignment="1">
      <alignment horizontal="left"/>
    </xf>
    <xf numFmtId="176" fontId="164" fillId="2" borderId="0" xfId="0" applyNumberFormat="1" applyFont="1" applyFill="1" applyBorder="1" applyAlignment="1"/>
    <xf numFmtId="0" fontId="166" fillId="2" borderId="0" xfId="0" applyFont="1" applyFill="1"/>
    <xf numFmtId="0" fontId="167" fillId="2" borderId="0" xfId="0" applyFont="1" applyFill="1" applyBorder="1"/>
    <xf numFmtId="0" fontId="167" fillId="0" borderId="0" xfId="0" applyFont="1"/>
    <xf numFmtId="0" fontId="166" fillId="18" borderId="0" xfId="0" applyFont="1" applyFill="1"/>
    <xf numFmtId="0" fontId="166" fillId="2" borderId="0" xfId="0" applyFont="1" applyFill="1" applyBorder="1"/>
    <xf numFmtId="0" fontId="166" fillId="2" borderId="4" xfId="0" applyFont="1" applyFill="1" applyBorder="1"/>
    <xf numFmtId="0" fontId="166" fillId="2" borderId="5" xfId="0" applyFont="1" applyFill="1" applyBorder="1"/>
    <xf numFmtId="0" fontId="166" fillId="2" borderId="16" xfId="0" applyFont="1" applyFill="1" applyBorder="1"/>
    <xf numFmtId="0" fontId="166" fillId="2" borderId="30" xfId="0" applyFont="1" applyFill="1" applyBorder="1"/>
    <xf numFmtId="0" fontId="166" fillId="2" borderId="28" xfId="0" applyFont="1" applyFill="1" applyBorder="1"/>
    <xf numFmtId="0" fontId="166" fillId="2" borderId="31" xfId="0" applyFont="1" applyFill="1" applyBorder="1"/>
    <xf numFmtId="0" fontId="166" fillId="2" borderId="6" xfId="0" applyFont="1" applyFill="1" applyBorder="1"/>
    <xf numFmtId="0" fontId="172" fillId="2" borderId="29" xfId="0" applyFont="1" applyFill="1" applyBorder="1" applyAlignment="1">
      <alignment horizontal="center"/>
    </xf>
    <xf numFmtId="0" fontId="172" fillId="2" borderId="0" xfId="0" applyFont="1" applyFill="1" applyBorder="1" applyAlignment="1"/>
    <xf numFmtId="0" fontId="169" fillId="2" borderId="0" xfId="0" applyFont="1" applyFill="1" applyBorder="1" applyAlignment="1">
      <alignment horizontal="center"/>
    </xf>
    <xf numFmtId="0" fontId="166" fillId="2" borderId="33" xfId="0" applyFont="1" applyFill="1" applyBorder="1"/>
    <xf numFmtId="0" fontId="166" fillId="2" borderId="0" xfId="0" applyFont="1" applyFill="1" applyAlignment="1"/>
    <xf numFmtId="0" fontId="166" fillId="2" borderId="29" xfId="0" applyFont="1" applyFill="1" applyBorder="1" applyAlignment="1"/>
    <xf numFmtId="0" fontId="166" fillId="2" borderId="0" xfId="0" applyFont="1" applyFill="1" applyBorder="1" applyAlignment="1"/>
    <xf numFmtId="0" fontId="162" fillId="2" borderId="0" xfId="0" applyFont="1" applyFill="1" applyBorder="1" applyAlignment="1">
      <alignment horizontal="left"/>
    </xf>
    <xf numFmtId="0" fontId="162" fillId="2" borderId="0" xfId="0" applyFont="1" applyFill="1" applyBorder="1" applyAlignment="1">
      <alignment vertical="center"/>
    </xf>
    <xf numFmtId="0" fontId="166" fillId="2" borderId="0" xfId="0" applyFont="1" applyFill="1" applyBorder="1" applyAlignment="1">
      <alignment vertical="center"/>
    </xf>
    <xf numFmtId="176" fontId="166" fillId="2" borderId="0" xfId="0" applyNumberFormat="1" applyFont="1" applyFill="1" applyBorder="1" applyAlignment="1">
      <alignment horizontal="center"/>
    </xf>
    <xf numFmtId="44" fontId="166" fillId="2" borderId="0" xfId="3" applyFont="1" applyFill="1" applyBorder="1" applyAlignment="1">
      <alignment vertical="center"/>
    </xf>
    <xf numFmtId="177" fontId="166" fillId="2" borderId="0" xfId="3" applyNumberFormat="1" applyFont="1" applyFill="1" applyBorder="1" applyAlignment="1">
      <alignment vertical="center"/>
    </xf>
    <xf numFmtId="0" fontId="166" fillId="2" borderId="0" xfId="0" applyFont="1" applyFill="1" applyAlignment="1">
      <alignment horizontal="center"/>
    </xf>
    <xf numFmtId="0" fontId="166" fillId="2" borderId="16" xfId="0" applyFont="1" applyFill="1" applyBorder="1" applyAlignment="1"/>
    <xf numFmtId="0" fontId="166" fillId="9" borderId="16" xfId="0" applyFont="1" applyFill="1" applyBorder="1" applyAlignment="1">
      <alignment horizontal="center"/>
    </xf>
    <xf numFmtId="0" fontId="162" fillId="9" borderId="16" xfId="0" applyFont="1" applyFill="1" applyBorder="1" applyAlignment="1">
      <alignment horizontal="left"/>
    </xf>
    <xf numFmtId="0" fontId="166" fillId="9" borderId="16" xfId="0" applyFont="1" applyFill="1" applyBorder="1" applyAlignment="1"/>
    <xf numFmtId="176" fontId="166" fillId="2" borderId="16" xfId="0" applyNumberFormat="1" applyFont="1" applyFill="1" applyBorder="1" applyAlignment="1">
      <alignment horizontal="center"/>
    </xf>
    <xf numFmtId="176" fontId="166" fillId="18" borderId="0" xfId="0" applyNumberFormat="1" applyFont="1" applyFill="1" applyAlignment="1">
      <alignment horizontal="left"/>
    </xf>
    <xf numFmtId="0" fontId="173" fillId="2" borderId="6" xfId="0" applyFont="1" applyFill="1" applyBorder="1"/>
    <xf numFmtId="0" fontId="172" fillId="2" borderId="27" xfId="0" applyFont="1" applyFill="1" applyBorder="1"/>
    <xf numFmtId="0" fontId="162" fillId="2" borderId="4" xfId="0" applyFont="1" applyFill="1" applyBorder="1"/>
    <xf numFmtId="0" fontId="172" fillId="2" borderId="16" xfId="0" applyFont="1" applyFill="1" applyBorder="1" applyAlignment="1">
      <alignment horizontal="left"/>
    </xf>
    <xf numFmtId="0" fontId="171" fillId="2" borderId="28" xfId="0" applyFont="1" applyFill="1" applyBorder="1"/>
    <xf numFmtId="0" fontId="170" fillId="2" borderId="30" xfId="0" applyFont="1" applyFill="1" applyBorder="1"/>
    <xf numFmtId="0" fontId="170" fillId="2" borderId="28" xfId="0" applyFont="1" applyFill="1" applyBorder="1"/>
    <xf numFmtId="0" fontId="161" fillId="2" borderId="4" xfId="0" applyFont="1" applyFill="1" applyBorder="1"/>
    <xf numFmtId="0" fontId="161" fillId="2" borderId="16" xfId="0" applyFont="1" applyFill="1" applyBorder="1"/>
    <xf numFmtId="0" fontId="163" fillId="2" borderId="0" xfId="0" applyFont="1" applyFill="1" applyAlignment="1">
      <alignment horizontal="center"/>
    </xf>
    <xf numFmtId="176" fontId="163" fillId="2" borderId="0" xfId="0" applyNumberFormat="1" applyFont="1" applyFill="1" applyBorder="1" applyAlignment="1"/>
    <xf numFmtId="0" fontId="172" fillId="2" borderId="0" xfId="0" applyFont="1" applyFill="1" applyBorder="1" applyAlignment="1">
      <alignment horizontal="left"/>
    </xf>
    <xf numFmtId="0" fontId="174" fillId="2" borderId="28" xfId="0" applyFont="1" applyFill="1" applyBorder="1" applyAlignment="1">
      <alignment horizontal="left"/>
    </xf>
    <xf numFmtId="0" fontId="174" fillId="2" borderId="28" xfId="0" applyFont="1" applyFill="1" applyBorder="1"/>
    <xf numFmtId="0" fontId="174" fillId="2" borderId="28" xfId="0" applyFont="1" applyFill="1" applyBorder="1" applyAlignment="1"/>
    <xf numFmtId="176" fontId="174" fillId="2" borderId="0" xfId="0" applyNumberFormat="1" applyFont="1" applyFill="1" applyBorder="1" applyAlignment="1">
      <alignment horizontal="center"/>
    </xf>
    <xf numFmtId="0" fontId="166" fillId="9" borderId="28" xfId="0" applyFont="1" applyFill="1" applyBorder="1" applyAlignment="1">
      <alignment horizontal="center"/>
    </xf>
    <xf numFmtId="0" fontId="162" fillId="9" borderId="28" xfId="0" applyFont="1" applyFill="1" applyBorder="1" applyAlignment="1">
      <alignment horizontal="left"/>
    </xf>
    <xf numFmtId="0" fontId="166" fillId="9" borderId="28" xfId="0" applyFont="1" applyFill="1" applyBorder="1" applyAlignment="1"/>
    <xf numFmtId="0" fontId="166" fillId="2" borderId="28" xfId="0" applyFont="1" applyFill="1" applyBorder="1" applyAlignment="1"/>
    <xf numFmtId="0" fontId="166" fillId="2" borderId="31" xfId="0" applyFont="1" applyFill="1" applyBorder="1" applyAlignment="1"/>
    <xf numFmtId="0" fontId="166" fillId="2" borderId="34" xfId="0" applyFont="1" applyFill="1" applyBorder="1" applyAlignment="1"/>
    <xf numFmtId="0" fontId="166" fillId="9" borderId="0" xfId="0" applyFont="1" applyFill="1"/>
    <xf numFmtId="0" fontId="176" fillId="2" borderId="28" xfId="0" applyFont="1" applyFill="1" applyBorder="1" applyAlignment="1"/>
    <xf numFmtId="179" fontId="176" fillId="2" borderId="28" xfId="0" applyNumberFormat="1" applyFont="1" applyFill="1" applyBorder="1" applyAlignment="1"/>
    <xf numFmtId="0" fontId="166" fillId="2" borderId="30" xfId="0" applyFont="1" applyFill="1" applyBorder="1" applyAlignment="1"/>
    <xf numFmtId="179" fontId="176" fillId="2" borderId="28" xfId="0" applyNumberFormat="1" applyFont="1" applyFill="1" applyBorder="1" applyAlignment="1">
      <alignment horizontal="center"/>
    </xf>
    <xf numFmtId="0" fontId="165" fillId="19" borderId="0" xfId="0" applyFont="1" applyFill="1" applyAlignment="1"/>
    <xf numFmtId="0" fontId="163" fillId="19" borderId="0" xfId="0" applyFont="1" applyFill="1" applyAlignment="1"/>
    <xf numFmtId="0" fontId="165" fillId="2" borderId="0" xfId="0" applyFont="1" applyFill="1" applyAlignment="1"/>
    <xf numFmtId="0" fontId="163" fillId="2" borderId="0" xfId="0" applyFont="1" applyFill="1" applyAlignment="1"/>
    <xf numFmtId="0" fontId="153" fillId="20" borderId="0" xfId="0" applyFont="1" applyFill="1"/>
    <xf numFmtId="0" fontId="0" fillId="9" borderId="5" xfId="0" applyFill="1" applyBorder="1"/>
    <xf numFmtId="0" fontId="179" fillId="0" borderId="0" xfId="0" applyFont="1"/>
    <xf numFmtId="0" fontId="153" fillId="22" borderId="0" xfId="0" applyFont="1" applyFill="1"/>
    <xf numFmtId="0" fontId="0" fillId="22" borderId="0" xfId="0" applyFill="1"/>
    <xf numFmtId="0" fontId="153" fillId="9" borderId="0" xfId="0" applyFont="1" applyFill="1" applyAlignment="1">
      <alignment horizontal="left"/>
    </xf>
    <xf numFmtId="0" fontId="153" fillId="9" borderId="0" xfId="0" applyFont="1" applyFill="1" applyAlignment="1">
      <alignment horizontal="center"/>
    </xf>
    <xf numFmtId="0" fontId="153" fillId="9" borderId="29" xfId="0" applyFont="1" applyFill="1" applyBorder="1" applyAlignment="1">
      <alignment horizontal="center"/>
    </xf>
    <xf numFmtId="0" fontId="179" fillId="2" borderId="0" xfId="0" applyFont="1" applyFill="1" applyBorder="1"/>
    <xf numFmtId="0" fontId="153" fillId="2" borderId="0" xfId="0" applyFont="1" applyFill="1" applyBorder="1" applyAlignment="1">
      <alignment horizontal="left" vertical="center"/>
    </xf>
    <xf numFmtId="0" fontId="153" fillId="2" borderId="0" xfId="0" applyFont="1" applyFill="1" applyBorder="1" applyAlignment="1">
      <alignment horizontal="right"/>
    </xf>
    <xf numFmtId="0" fontId="157" fillId="19" borderId="0" xfId="0" applyFont="1" applyFill="1" applyAlignment="1"/>
    <xf numFmtId="0" fontId="156" fillId="2" borderId="0" xfId="0" applyFont="1" applyFill="1" applyAlignment="1"/>
    <xf numFmtId="0" fontId="153" fillId="9" borderId="35" xfId="0" applyFont="1" applyFill="1" applyBorder="1" applyAlignment="1">
      <alignment horizontal="center"/>
    </xf>
    <xf numFmtId="0" fontId="153" fillId="9" borderId="36" xfId="0" applyFont="1" applyFill="1" applyBorder="1" applyAlignment="1">
      <alignment horizontal="center"/>
    </xf>
    <xf numFmtId="0" fontId="153" fillId="9" borderId="36" xfId="0" applyFont="1" applyFill="1" applyBorder="1" applyAlignment="1">
      <alignment vertical="center"/>
    </xf>
    <xf numFmtId="0" fontId="153" fillId="9" borderId="10" xfId="0" applyFont="1" applyFill="1" applyBorder="1"/>
    <xf numFmtId="0" fontId="153" fillId="9" borderId="12" xfId="0" applyFont="1" applyFill="1" applyBorder="1"/>
    <xf numFmtId="0" fontId="153" fillId="9" borderId="10" xfId="0" applyFont="1" applyFill="1" applyBorder="1" applyAlignment="1">
      <alignment vertical="center"/>
    </xf>
    <xf numFmtId="0" fontId="153" fillId="9" borderId="12" xfId="0" applyFont="1" applyFill="1" applyBorder="1" applyAlignment="1">
      <alignment vertical="center"/>
    </xf>
    <xf numFmtId="0" fontId="160" fillId="9" borderId="11" xfId="0" applyFont="1" applyFill="1" applyBorder="1" applyAlignment="1">
      <alignment horizontal="center"/>
    </xf>
    <xf numFmtId="0" fontId="155" fillId="9" borderId="11" xfId="0" applyFont="1" applyFill="1" applyBorder="1" applyAlignment="1">
      <alignment horizontal="center"/>
    </xf>
    <xf numFmtId="0" fontId="160" fillId="9" borderId="12" xfId="0" applyFont="1" applyFill="1" applyBorder="1" applyAlignment="1">
      <alignment horizontal="center"/>
    </xf>
    <xf numFmtId="0" fontId="159" fillId="9" borderId="11" xfId="0" applyFont="1" applyFill="1" applyBorder="1" applyAlignment="1">
      <alignment horizontal="center"/>
    </xf>
    <xf numFmtId="0" fontId="159" fillId="9" borderId="12" xfId="0" applyFont="1" applyFill="1" applyBorder="1" applyAlignment="1">
      <alignment horizontal="center"/>
    </xf>
    <xf numFmtId="0" fontId="159" fillId="2" borderId="0" xfId="0" applyFont="1" applyFill="1" applyBorder="1" applyAlignment="1">
      <alignment horizontal="center"/>
    </xf>
    <xf numFmtId="0" fontId="160" fillId="2" borderId="0" xfId="0" applyFont="1" applyFill="1" applyBorder="1" applyAlignment="1">
      <alignment horizontal="center"/>
    </xf>
    <xf numFmtId="0" fontId="160" fillId="9" borderId="36" xfId="0" applyFont="1" applyFill="1" applyBorder="1" applyAlignment="1">
      <alignment horizontal="center" vertical="center"/>
    </xf>
    <xf numFmtId="181" fontId="161" fillId="9" borderId="12" xfId="0" applyNumberFormat="1" applyFont="1" applyFill="1" applyBorder="1"/>
    <xf numFmtId="0" fontId="159" fillId="9" borderId="36" xfId="0" applyFont="1" applyFill="1" applyBorder="1" applyAlignment="1">
      <alignment horizontal="center" vertical="center"/>
    </xf>
    <xf numFmtId="182" fontId="177" fillId="9" borderId="12" xfId="0" applyNumberFormat="1" applyFont="1" applyFill="1" applyBorder="1"/>
    <xf numFmtId="0" fontId="159" fillId="2" borderId="0" xfId="0" applyFont="1" applyFill="1" applyAlignment="1"/>
    <xf numFmtId="0" fontId="159" fillId="2" borderId="12" xfId="0" applyFont="1" applyFill="1" applyBorder="1" applyAlignment="1"/>
    <xf numFmtId="0" fontId="178" fillId="20" borderId="0" xfId="0" applyFont="1" applyFill="1" applyBorder="1"/>
    <xf numFmtId="0" fontId="153" fillId="20" borderId="0" xfId="0" applyFont="1" applyFill="1" applyBorder="1"/>
    <xf numFmtId="0" fontId="179" fillId="2" borderId="0" xfId="0" applyFont="1" applyFill="1" applyBorder="1" applyAlignment="1">
      <alignment horizontal="center"/>
    </xf>
    <xf numFmtId="0" fontId="160" fillId="2" borderId="0" xfId="0" applyFont="1" applyFill="1" applyBorder="1" applyAlignment="1">
      <alignment vertical="center"/>
    </xf>
    <xf numFmtId="0" fontId="155" fillId="2" borderId="0" xfId="0" applyFont="1" applyFill="1" applyBorder="1" applyAlignment="1">
      <alignment horizontal="center"/>
    </xf>
    <xf numFmtId="0" fontId="155" fillId="2" borderId="29" xfId="0" applyFont="1" applyFill="1" applyBorder="1" applyAlignment="1">
      <alignment horizontal="center"/>
    </xf>
    <xf numFmtId="0" fontId="160" fillId="2" borderId="29" xfId="0" applyFont="1" applyFill="1" applyBorder="1" applyAlignment="1">
      <alignment horizontal="center"/>
    </xf>
    <xf numFmtId="0" fontId="160" fillId="2" borderId="0" xfId="0" applyFont="1" applyFill="1" applyBorder="1"/>
    <xf numFmtId="0" fontId="158" fillId="2" borderId="0" xfId="0" applyFont="1" applyFill="1" applyAlignment="1">
      <alignment horizontal="center" vertical="top"/>
    </xf>
    <xf numFmtId="0" fontId="160" fillId="9" borderId="35" xfId="0" applyFont="1" applyFill="1" applyBorder="1" applyAlignment="1">
      <alignment horizontal="center"/>
    </xf>
    <xf numFmtId="0" fontId="153" fillId="9" borderId="12" xfId="0" applyFont="1" applyFill="1" applyBorder="1" applyAlignment="1"/>
    <xf numFmtId="0" fontId="153" fillId="9" borderId="0" xfId="0" applyFont="1" applyFill="1" applyBorder="1" applyAlignment="1"/>
    <xf numFmtId="0" fontId="183" fillId="9" borderId="0" xfId="0" applyFont="1" applyFill="1" applyBorder="1" applyAlignment="1">
      <alignment vertical="center"/>
    </xf>
    <xf numFmtId="0" fontId="153" fillId="9" borderId="0" xfId="0" applyFont="1" applyFill="1" applyBorder="1" applyAlignment="1">
      <alignment vertical="center"/>
    </xf>
    <xf numFmtId="0" fontId="160" fillId="9" borderId="42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9" borderId="4" xfId="0" applyFont="1" applyFill="1" applyBorder="1"/>
    <xf numFmtId="0" fontId="0" fillId="3" borderId="0" xfId="0" applyFont="1" applyFill="1"/>
    <xf numFmtId="0" fontId="0" fillId="19" borderId="0" xfId="0" applyFont="1" applyFill="1"/>
    <xf numFmtId="0" fontId="16" fillId="19" borderId="0" xfId="0" applyFont="1" applyFill="1" applyAlignment="1"/>
    <xf numFmtId="0" fontId="151" fillId="19" borderId="0" xfId="0" applyFont="1" applyFill="1" applyAlignment="1"/>
    <xf numFmtId="0" fontId="151" fillId="2" borderId="0" xfId="0" applyFont="1" applyFill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/>
    <xf numFmtId="0" fontId="0" fillId="23" borderId="0" xfId="0" applyFont="1" applyFill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18" borderId="1" xfId="0" applyFont="1" applyFill="1" applyBorder="1"/>
    <xf numFmtId="0" fontId="0" fillId="2" borderId="0" xfId="0" applyFont="1" applyFill="1" applyAlignment="1">
      <alignment horizontal="left"/>
    </xf>
    <xf numFmtId="0" fontId="0" fillId="23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2" borderId="0" xfId="0" applyFont="1" applyFill="1"/>
    <xf numFmtId="0" fontId="0" fillId="22" borderId="0" xfId="0" applyFont="1" applyFill="1" applyAlignment="1"/>
    <xf numFmtId="0" fontId="0" fillId="22" borderId="0" xfId="0" applyFont="1" applyFill="1" applyAlignment="1">
      <alignment horizontal="center" vertical="center"/>
    </xf>
    <xf numFmtId="0" fontId="0" fillId="20" borderId="0" xfId="0" applyFont="1" applyFill="1"/>
    <xf numFmtId="0" fontId="0" fillId="20" borderId="0" xfId="0" applyFont="1" applyFill="1" applyAlignment="1"/>
    <xf numFmtId="0" fontId="0" fillId="9" borderId="16" xfId="0" applyFont="1" applyFill="1" applyBorder="1"/>
    <xf numFmtId="0" fontId="0" fillId="2" borderId="16" xfId="0" applyFont="1" applyFill="1" applyBorder="1"/>
    <xf numFmtId="0" fontId="0" fillId="9" borderId="5" xfId="0" applyFont="1" applyFill="1" applyBorder="1"/>
    <xf numFmtId="0" fontId="166" fillId="2" borderId="0" xfId="0" applyFont="1" applyFill="1" applyBorder="1" applyAlignment="1">
      <alignment horizontal="center" vertical="center"/>
    </xf>
    <xf numFmtId="0" fontId="166" fillId="2" borderId="0" xfId="0" applyFont="1" applyFill="1" applyBorder="1" applyAlignment="1">
      <alignment horizontal="center"/>
    </xf>
    <xf numFmtId="176" fontId="166" fillId="2" borderId="16" xfId="0" applyNumberFormat="1" applyFont="1" applyFill="1" applyBorder="1" applyAlignment="1">
      <alignment horizontal="center"/>
    </xf>
    <xf numFmtId="0" fontId="174" fillId="2" borderId="28" xfId="0" applyFont="1" applyFill="1" applyBorder="1" applyAlignment="1">
      <alignment horizontal="center"/>
    </xf>
    <xf numFmtId="0" fontId="162" fillId="2" borderId="0" xfId="0" applyFont="1" applyFill="1" applyBorder="1" applyAlignment="1">
      <alignment horizontal="center"/>
    </xf>
    <xf numFmtId="0" fontId="166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53" fillId="9" borderId="0" xfId="0" applyFont="1" applyFill="1" applyAlignment="1">
      <alignment horizontal="center"/>
    </xf>
    <xf numFmtId="0" fontId="144" fillId="2" borderId="0" xfId="0" applyFont="1" applyFill="1" applyAlignment="1"/>
    <xf numFmtId="0" fontId="144" fillId="2" borderId="0" xfId="0" applyFont="1" applyFill="1"/>
    <xf numFmtId="0" fontId="16" fillId="2" borderId="0" xfId="0" applyFont="1" applyFill="1" applyAlignment="1"/>
    <xf numFmtId="0" fontId="16" fillId="2" borderId="0" xfId="0" applyFont="1" applyFill="1"/>
    <xf numFmtId="0" fontId="0" fillId="2" borderId="0" xfId="0" applyFill="1" applyBorder="1" applyAlignment="1"/>
    <xf numFmtId="0" fontId="0" fillId="20" borderId="0" xfId="0" applyFont="1" applyFill="1" applyBorder="1" applyAlignment="1">
      <alignment horizontal="left"/>
    </xf>
    <xf numFmtId="0" fontId="0" fillId="9" borderId="0" xfId="0" applyFont="1" applyFill="1" applyBorder="1"/>
    <xf numFmtId="0" fontId="0" fillId="17" borderId="0" xfId="0" applyFont="1" applyFill="1"/>
    <xf numFmtId="0" fontId="0" fillId="17" borderId="0" xfId="0" applyFont="1" applyFill="1" applyAlignment="1"/>
    <xf numFmtId="0" fontId="0" fillId="17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0" fillId="6" borderId="0" xfId="0" applyFont="1" applyFill="1"/>
    <xf numFmtId="0" fontId="0" fillId="6" borderId="0" xfId="0" applyFont="1" applyFill="1" applyBorder="1"/>
    <xf numFmtId="0" fontId="0" fillId="20" borderId="0" xfId="0" applyFont="1" applyFill="1" applyBorder="1"/>
    <xf numFmtId="0" fontId="139" fillId="2" borderId="0" xfId="0" applyFont="1" applyFill="1"/>
    <xf numFmtId="0" fontId="0" fillId="4" borderId="0" xfId="0" applyFont="1" applyFill="1"/>
    <xf numFmtId="0" fontId="0" fillId="4" borderId="0" xfId="0" applyFont="1" applyFill="1" applyAlignment="1"/>
    <xf numFmtId="0" fontId="186" fillId="6" borderId="0" xfId="0" applyFont="1" applyFill="1"/>
    <xf numFmtId="0" fontId="0" fillId="6" borderId="0" xfId="0" applyFont="1" applyFill="1" applyAlignment="1">
      <alignment horizontal="center" vertical="center"/>
    </xf>
    <xf numFmtId="0" fontId="144" fillId="2" borderId="1" xfId="0" applyFont="1" applyFill="1" applyBorder="1"/>
    <xf numFmtId="0" fontId="144" fillId="2" borderId="0" xfId="0" applyFont="1" applyFill="1" applyBorder="1" applyAlignment="1"/>
    <xf numFmtId="0" fontId="0" fillId="18" borderId="0" xfId="0" applyFont="1" applyFill="1" applyAlignment="1">
      <alignment horizontal="left"/>
    </xf>
    <xf numFmtId="0" fontId="139" fillId="4" borderId="0" xfId="0" applyFont="1" applyFill="1" applyAlignment="1"/>
    <xf numFmtId="0" fontId="139" fillId="4" borderId="0" xfId="0" applyFont="1" applyFill="1"/>
    <xf numFmtId="0" fontId="0" fillId="17" borderId="0" xfId="0" applyFill="1"/>
    <xf numFmtId="0" fontId="0" fillId="2" borderId="0" xfId="0" applyFill="1" applyBorder="1" applyAlignment="1">
      <alignment horizontal="right"/>
    </xf>
    <xf numFmtId="0" fontId="151" fillId="19" borderId="0" xfId="0" applyFont="1" applyFill="1" applyAlignment="1">
      <alignment horizontal="right"/>
    </xf>
    <xf numFmtId="0" fontId="144" fillId="2" borderId="0" xfId="0" applyFont="1" applyFill="1" applyAlignment="1">
      <alignment horizontal="right"/>
    </xf>
    <xf numFmtId="0" fontId="0" fillId="17" borderId="0" xfId="0" applyFont="1" applyFill="1" applyAlignment="1">
      <alignment horizontal="right"/>
    </xf>
    <xf numFmtId="0" fontId="139" fillId="4" borderId="0" xfId="0" applyFont="1" applyFill="1" applyAlignment="1">
      <alignment horizontal="right"/>
    </xf>
    <xf numFmtId="0" fontId="0" fillId="9" borderId="16" xfId="0" applyFont="1" applyFill="1" applyBorder="1" applyAlignment="1">
      <alignment horizontal="right"/>
    </xf>
    <xf numFmtId="0" fontId="0" fillId="19" borderId="0" xfId="0" applyFont="1" applyFill="1" applyAlignment="1">
      <alignment horizontal="right"/>
    </xf>
    <xf numFmtId="0" fontId="0" fillId="3" borderId="6" xfId="0" applyFont="1" applyFill="1" applyBorder="1"/>
    <xf numFmtId="0" fontId="0" fillId="18" borderId="6" xfId="0" applyFont="1" applyFill="1" applyBorder="1"/>
    <xf numFmtId="0" fontId="139" fillId="2" borderId="6" xfId="0" applyFont="1" applyFill="1" applyBorder="1" applyAlignment="1"/>
    <xf numFmtId="0" fontId="0" fillId="23" borderId="6" xfId="0" applyFont="1" applyFill="1" applyBorder="1" applyAlignment="1"/>
    <xf numFmtId="0" fontId="0" fillId="23" borderId="6" xfId="0" applyFont="1" applyFill="1" applyBorder="1"/>
    <xf numFmtId="0" fontId="0" fillId="18" borderId="6" xfId="0" applyFont="1" applyFill="1" applyBorder="1" applyAlignment="1">
      <alignment horizontal="left"/>
    </xf>
    <xf numFmtId="0" fontId="139" fillId="22" borderId="0" xfId="0" applyFont="1" applyFill="1"/>
    <xf numFmtId="0" fontId="139" fillId="22" borderId="0" xfId="0" applyFont="1" applyFill="1" applyAlignment="1">
      <alignment horizontal="right"/>
    </xf>
    <xf numFmtId="0" fontId="139" fillId="22" borderId="0" xfId="0" applyFont="1" applyFill="1" applyAlignment="1"/>
    <xf numFmtId="0" fontId="0" fillId="2" borderId="0" xfId="0" applyFont="1" applyFill="1" applyAlignment="1">
      <alignment horizontal="right"/>
    </xf>
    <xf numFmtId="0" fontId="188" fillId="2" borderId="6" xfId="0" applyFont="1" applyFill="1" applyBorder="1"/>
    <xf numFmtId="0" fontId="139" fillId="4" borderId="0" xfId="0" applyFont="1" applyFill="1" applyAlignment="1"/>
    <xf numFmtId="0" fontId="139" fillId="22" borderId="0" xfId="0" applyFont="1" applyFill="1" applyAlignment="1"/>
    <xf numFmtId="0" fontId="0" fillId="24" borderId="0" xfId="0" applyFill="1"/>
    <xf numFmtId="0" fontId="0" fillId="24" borderId="0" xfId="0" applyFont="1" applyFill="1"/>
    <xf numFmtId="0" fontId="0" fillId="24" borderId="0" xfId="0" applyFont="1" applyFill="1" applyAlignment="1">
      <alignment horizontal="right"/>
    </xf>
    <xf numFmtId="0" fontId="0" fillId="9" borderId="4" xfId="0" applyFill="1" applyBorder="1"/>
    <xf numFmtId="167" fontId="0" fillId="9" borderId="16" xfId="0" applyNumberFormat="1" applyFill="1" applyBorder="1" applyAlignment="1"/>
    <xf numFmtId="167" fontId="0" fillId="9" borderId="16" xfId="0" applyNumberFormat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6" fillId="2" borderId="0" xfId="0" applyFont="1" applyFill="1" applyBorder="1" applyAlignment="1">
      <alignment horizontal="center"/>
    </xf>
    <xf numFmtId="0" fontId="166" fillId="2" borderId="0" xfId="0" applyFont="1" applyFill="1" applyBorder="1" applyAlignment="1">
      <alignment horizontal="center" vertical="center"/>
    </xf>
    <xf numFmtId="0" fontId="166" fillId="2" borderId="29" xfId="0" applyFont="1" applyFill="1" applyBorder="1" applyAlignment="1">
      <alignment horizontal="center"/>
    </xf>
    <xf numFmtId="0" fontId="159" fillId="2" borderId="0" xfId="0" applyFont="1" applyFill="1" applyBorder="1" applyAlignment="1">
      <alignment horizontal="center"/>
    </xf>
    <xf numFmtId="0" fontId="153" fillId="2" borderId="29" xfId="0" applyFont="1" applyFill="1" applyBorder="1" applyAlignment="1">
      <alignment horizontal="center"/>
    </xf>
    <xf numFmtId="0" fontId="160" fillId="2" borderId="0" xfId="0" applyFont="1" applyFill="1" applyBorder="1" applyAlignment="1">
      <alignment horizontal="center"/>
    </xf>
    <xf numFmtId="0" fontId="15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92" fillId="0" borderId="0" xfId="0" applyFont="1"/>
    <xf numFmtId="0" fontId="159" fillId="2" borderId="0" xfId="0" applyFont="1" applyFill="1" applyBorder="1"/>
    <xf numFmtId="0" fontId="194" fillId="19" borderId="0" xfId="0" applyFont="1" applyFill="1" applyAlignment="1"/>
    <xf numFmtId="0" fontId="175" fillId="2" borderId="0" xfId="0" applyFont="1" applyFill="1" applyAlignment="1">
      <alignment vertical="center"/>
    </xf>
    <xf numFmtId="0" fontId="176" fillId="2" borderId="29" xfId="0" applyFont="1" applyFill="1" applyBorder="1" applyAlignment="1">
      <alignment horizontal="center"/>
    </xf>
    <xf numFmtId="0" fontId="175" fillId="2" borderId="0" xfId="0" applyFont="1" applyFill="1" applyBorder="1" applyAlignment="1"/>
    <xf numFmtId="0" fontId="176" fillId="2" borderId="0" xfId="0" applyFont="1" applyFill="1" applyBorder="1" applyAlignment="1">
      <alignment horizontal="center"/>
    </xf>
    <xf numFmtId="0" fontId="197" fillId="2" borderId="0" xfId="0" applyFont="1" applyFill="1" applyBorder="1" applyAlignment="1">
      <alignment horizontal="center"/>
    </xf>
    <xf numFmtId="0" fontId="200" fillId="2" borderId="29" xfId="0" applyFont="1" applyFill="1" applyBorder="1" applyAlignment="1">
      <alignment horizontal="center"/>
    </xf>
    <xf numFmtId="0" fontId="175" fillId="2" borderId="0" xfId="0" applyFont="1" applyFill="1" applyBorder="1" applyAlignment="1">
      <alignment horizontal="center"/>
    </xf>
    <xf numFmtId="0" fontId="198" fillId="2" borderId="0" xfId="0" applyFont="1" applyFill="1" applyAlignment="1">
      <alignment horizontal="center"/>
    </xf>
    <xf numFmtId="0" fontId="175" fillId="2" borderId="0" xfId="0" applyFont="1" applyFill="1" applyBorder="1" applyAlignment="1">
      <alignment horizontal="right"/>
    </xf>
    <xf numFmtId="0" fontId="175" fillId="2" borderId="0" xfId="0" applyFont="1" applyFill="1" applyBorder="1" applyAlignment="1">
      <alignment vertical="center"/>
    </xf>
    <xf numFmtId="0" fontId="200" fillId="9" borderId="35" xfId="0" applyFont="1" applyFill="1" applyBorder="1" applyAlignment="1">
      <alignment horizontal="center"/>
    </xf>
    <xf numFmtId="0" fontId="175" fillId="9" borderId="10" xfId="0" applyFont="1" applyFill="1" applyBorder="1" applyAlignment="1">
      <alignment vertical="center"/>
    </xf>
    <xf numFmtId="0" fontId="176" fillId="9" borderId="13" xfId="0" applyFont="1" applyFill="1" applyBorder="1" applyAlignment="1">
      <alignment horizontal="center"/>
    </xf>
    <xf numFmtId="0" fontId="176" fillId="9" borderId="35" xfId="0" applyFont="1" applyFill="1" applyBorder="1" applyAlignment="1">
      <alignment horizontal="center"/>
    </xf>
    <xf numFmtId="0" fontId="203" fillId="9" borderId="11" xfId="0" applyFont="1" applyFill="1" applyBorder="1" applyAlignment="1">
      <alignment horizontal="center"/>
    </xf>
    <xf numFmtId="0" fontId="175" fillId="9" borderId="12" xfId="0" applyFont="1" applyFill="1" applyBorder="1" applyAlignment="1">
      <alignment vertical="center"/>
    </xf>
    <xf numFmtId="0" fontId="194" fillId="19" borderId="0" xfId="0" applyFont="1" applyFill="1" applyAlignment="1">
      <alignment vertical="center"/>
    </xf>
    <xf numFmtId="0" fontId="200" fillId="2" borderId="0" xfId="0" applyFont="1" applyFill="1" applyBorder="1" applyAlignment="1">
      <alignment horizontal="center"/>
    </xf>
    <xf numFmtId="0" fontId="176" fillId="9" borderId="11" xfId="0" applyFont="1" applyFill="1" applyBorder="1" applyAlignment="1">
      <alignment horizontal="center"/>
    </xf>
    <xf numFmtId="0" fontId="175" fillId="9" borderId="0" xfId="0" applyFont="1" applyFill="1" applyBorder="1" applyAlignment="1"/>
    <xf numFmtId="0" fontId="175" fillId="9" borderId="12" xfId="0" applyFont="1" applyFill="1" applyBorder="1" applyAlignment="1"/>
    <xf numFmtId="0" fontId="166" fillId="2" borderId="0" xfId="0" applyFont="1" applyFill="1" applyAlignment="1">
      <alignment vertical="center"/>
    </xf>
    <xf numFmtId="0" fontId="204" fillId="2" borderId="0" xfId="0" applyFont="1" applyFill="1" applyBorder="1"/>
    <xf numFmtId="0" fontId="161" fillId="2" borderId="0" xfId="0" applyFont="1" applyFill="1" applyBorder="1" applyAlignment="1">
      <alignment horizontal="center"/>
    </xf>
    <xf numFmtId="0" fontId="161" fillId="2" borderId="0" xfId="0" applyFont="1" applyFill="1" applyBorder="1" applyAlignment="1">
      <alignment horizontal="left" vertical="center"/>
    </xf>
    <xf numFmtId="0" fontId="166" fillId="2" borderId="0" xfId="0" applyFont="1" applyFill="1" applyBorder="1" applyAlignment="1">
      <alignment horizontal="right"/>
    </xf>
    <xf numFmtId="0" fontId="175" fillId="2" borderId="0" xfId="0" applyFont="1" applyFill="1" applyAlignment="1"/>
    <xf numFmtId="0" fontId="196" fillId="2" borderId="0" xfId="0" applyFont="1" applyFill="1" applyBorder="1" applyAlignment="1"/>
    <xf numFmtId="0" fontId="197" fillId="2" borderId="0" xfId="0" applyFont="1" applyFill="1" applyBorder="1" applyAlignment="1"/>
    <xf numFmtId="0" fontId="199" fillId="20" borderId="0" xfId="0" applyFont="1" applyFill="1" applyBorder="1" applyAlignment="1"/>
    <xf numFmtId="0" fontId="175" fillId="20" borderId="0" xfId="0" applyFont="1" applyFill="1" applyAlignment="1"/>
    <xf numFmtId="0" fontId="175" fillId="20" borderId="0" xfId="0" applyFont="1" applyFill="1" applyBorder="1" applyAlignment="1"/>
    <xf numFmtId="0" fontId="200" fillId="2" borderId="0" xfId="0" applyFont="1" applyFill="1" applyBorder="1" applyAlignment="1"/>
    <xf numFmtId="0" fontId="176" fillId="2" borderId="0" xfId="0" applyFont="1" applyFill="1" applyBorder="1" applyAlignment="1"/>
    <xf numFmtId="0" fontId="176" fillId="2" borderId="0" xfId="0" applyFont="1" applyFill="1" applyBorder="1" applyAlignment="1">
      <alignment horizontal="left"/>
    </xf>
    <xf numFmtId="0" fontId="201" fillId="9" borderId="10" xfId="0" applyFont="1" applyFill="1" applyBorder="1" applyAlignment="1"/>
    <xf numFmtId="0" fontId="175" fillId="9" borderId="10" xfId="0" applyFont="1" applyFill="1" applyBorder="1" applyAlignment="1"/>
    <xf numFmtId="0" fontId="175" fillId="2" borderId="0" xfId="0" applyFont="1" applyFill="1" applyAlignment="1">
      <alignment horizontal="center" vertical="center"/>
    </xf>
    <xf numFmtId="0" fontId="198" fillId="2" borderId="0" xfId="0" applyFont="1" applyFill="1" applyBorder="1" applyAlignment="1">
      <alignment horizontal="center"/>
    </xf>
    <xf numFmtId="0" fontId="194" fillId="2" borderId="0" xfId="0" applyFont="1" applyFill="1" applyAlignment="1">
      <alignment vertical="center"/>
    </xf>
    <xf numFmtId="0" fontId="205" fillId="25" borderId="0" xfId="0" applyFont="1" applyFill="1" applyAlignment="1">
      <alignment vertical="center"/>
    </xf>
    <xf numFmtId="0" fontId="205" fillId="2" borderId="0" xfId="0" applyFont="1" applyFill="1" applyAlignment="1">
      <alignment vertical="center"/>
    </xf>
    <xf numFmtId="0" fontId="175" fillId="2" borderId="0" xfId="0" applyFont="1" applyFill="1" applyAlignment="1">
      <alignment vertical="top"/>
    </xf>
    <xf numFmtId="0" fontId="175" fillId="9" borderId="10" xfId="0" applyFont="1" applyFill="1" applyBorder="1" applyAlignment="1">
      <alignment vertical="top"/>
    </xf>
    <xf numFmtId="0" fontId="175" fillId="9" borderId="12" xfId="0" applyFont="1" applyFill="1" applyBorder="1" applyAlignment="1">
      <alignment vertical="top"/>
    </xf>
    <xf numFmtId="0" fontId="175" fillId="9" borderId="39" xfId="0" applyFont="1" applyFill="1" applyBorder="1" applyAlignment="1"/>
    <xf numFmtId="0" fontId="198" fillId="9" borderId="11" xfId="0" applyFont="1" applyFill="1" applyBorder="1" applyAlignment="1">
      <alignment horizontal="center"/>
    </xf>
    <xf numFmtId="0" fontId="175" fillId="2" borderId="29" xfId="0" applyFont="1" applyFill="1" applyBorder="1" applyAlignment="1"/>
    <xf numFmtId="0" fontId="175" fillId="2" borderId="29" xfId="0" applyFont="1" applyFill="1" applyBorder="1" applyAlignment="1">
      <alignment horizontal="right"/>
    </xf>
    <xf numFmtId="0" fontId="196" fillId="2" borderId="0" xfId="0" applyFont="1" applyFill="1" applyBorder="1" applyAlignment="1">
      <alignment horizontal="right"/>
    </xf>
    <xf numFmtId="0" fontId="195" fillId="2" borderId="29" xfId="0" applyFont="1" applyFill="1" applyBorder="1" applyAlignment="1"/>
    <xf numFmtId="0" fontId="195" fillId="2" borderId="0" xfId="0" applyFont="1" applyFill="1" applyBorder="1" applyAlignment="1"/>
    <xf numFmtId="0" fontId="196" fillId="2" borderId="0" xfId="0" applyFont="1" applyFill="1" applyAlignment="1"/>
    <xf numFmtId="0" fontId="176" fillId="9" borderId="42" xfId="0" applyFont="1" applyFill="1" applyBorder="1" applyAlignment="1">
      <alignment horizontal="center"/>
    </xf>
    <xf numFmtId="0" fontId="200" fillId="2" borderId="0" xfId="0" applyFont="1" applyFill="1" applyBorder="1" applyAlignment="1">
      <alignment horizontal="left"/>
    </xf>
    <xf numFmtId="0" fontId="176" fillId="2" borderId="29" xfId="0" applyFont="1" applyFill="1" applyBorder="1" applyAlignment="1">
      <alignment horizontal="right"/>
    </xf>
    <xf numFmtId="0" fontId="200" fillId="9" borderId="13" xfId="0" applyFont="1" applyFill="1" applyBorder="1" applyAlignment="1">
      <alignment horizontal="center"/>
    </xf>
    <xf numFmtId="183" fontId="175" fillId="9" borderId="36" xfId="0" applyNumberFormat="1" applyFont="1" applyFill="1" applyBorder="1" applyAlignment="1">
      <alignment horizontal="center"/>
    </xf>
    <xf numFmtId="0" fontId="159" fillId="2" borderId="12" xfId="0" applyFont="1" applyFill="1" applyBorder="1" applyAlignment="1">
      <alignment horizontal="left"/>
    </xf>
    <xf numFmtId="0" fontId="160" fillId="9" borderId="13" xfId="0" applyFont="1" applyFill="1" applyBorder="1" applyAlignment="1">
      <alignment horizontal="center"/>
    </xf>
    <xf numFmtId="0" fontId="153" fillId="9" borderId="0" xfId="0" applyFont="1" applyFill="1" applyBorder="1"/>
    <xf numFmtId="181" fontId="161" fillId="9" borderId="0" xfId="0" applyNumberFormat="1" applyFont="1" applyFill="1" applyBorder="1"/>
    <xf numFmtId="0" fontId="166" fillId="2" borderId="0" xfId="0" applyFont="1" applyFill="1" applyBorder="1" applyAlignment="1">
      <alignment horizontal="left"/>
    </xf>
    <xf numFmtId="0" fontId="166" fillId="2" borderId="0" xfId="0" applyFont="1" applyFill="1" applyBorder="1" applyAlignment="1">
      <alignment horizontal="left" vertical="center"/>
    </xf>
    <xf numFmtId="0" fontId="177" fillId="2" borderId="0" xfId="0" applyFont="1" applyFill="1" applyAlignment="1"/>
    <xf numFmtId="0" fontId="177" fillId="2" borderId="0" xfId="0" applyFont="1" applyFill="1" applyBorder="1" applyAlignment="1">
      <alignment horizontal="center"/>
    </xf>
    <xf numFmtId="0" fontId="177" fillId="2" borderId="12" xfId="0" applyFont="1" applyFill="1" applyBorder="1" applyAlignment="1"/>
    <xf numFmtId="0" fontId="166" fillId="9" borderId="35" xfId="0" applyFont="1" applyFill="1" applyBorder="1" applyAlignment="1">
      <alignment horizontal="center"/>
    </xf>
    <xf numFmtId="0" fontId="166" fillId="9" borderId="36" xfId="0" applyFont="1" applyFill="1" applyBorder="1" applyAlignment="1">
      <alignment vertical="center"/>
    </xf>
    <xf numFmtId="0" fontId="166" fillId="9" borderId="10" xfId="0" applyFont="1" applyFill="1" applyBorder="1"/>
    <xf numFmtId="0" fontId="161" fillId="9" borderId="11" xfId="0" applyFont="1" applyFill="1" applyBorder="1" applyAlignment="1">
      <alignment horizontal="center"/>
    </xf>
    <xf numFmtId="0" fontId="161" fillId="9" borderId="12" xfId="0" applyFont="1" applyFill="1" applyBorder="1" applyAlignment="1">
      <alignment horizontal="center"/>
    </xf>
    <xf numFmtId="0" fontId="166" fillId="9" borderId="12" xfId="0" applyFont="1" applyFill="1" applyBorder="1"/>
    <xf numFmtId="0" fontId="161" fillId="2" borderId="0" xfId="0" applyFont="1" applyFill="1" applyBorder="1"/>
    <xf numFmtId="0" fontId="177" fillId="2" borderId="12" xfId="0" applyFont="1" applyFill="1" applyBorder="1" applyAlignment="1">
      <alignment horizontal="center"/>
    </xf>
    <xf numFmtId="0" fontId="166" fillId="9" borderId="10" xfId="0" applyFont="1" applyFill="1" applyBorder="1" applyAlignment="1">
      <alignment horizontal="center"/>
    </xf>
    <xf numFmtId="0" fontId="166" fillId="9" borderId="37" xfId="0" applyFont="1" applyFill="1" applyBorder="1" applyAlignment="1">
      <alignment vertical="center"/>
    </xf>
    <xf numFmtId="0" fontId="153" fillId="9" borderId="14" xfId="0" applyFont="1" applyFill="1" applyBorder="1"/>
    <xf numFmtId="0" fontId="153" fillId="9" borderId="17" xfId="0" applyFont="1" applyFill="1" applyBorder="1"/>
    <xf numFmtId="0" fontId="153" fillId="9" borderId="37" xfId="0" applyFont="1" applyFill="1" applyBorder="1" applyAlignment="1">
      <alignment vertical="center"/>
    </xf>
    <xf numFmtId="0" fontId="193" fillId="9" borderId="10" xfId="0" applyFont="1" applyFill="1" applyBorder="1" applyAlignment="1">
      <alignment vertical="center"/>
    </xf>
    <xf numFmtId="183" fontId="193" fillId="9" borderId="14" xfId="0" applyNumberFormat="1" applyFont="1" applyFill="1" applyBorder="1" applyAlignment="1">
      <alignment vertical="center"/>
    </xf>
    <xf numFmtId="0" fontId="193" fillId="9" borderId="12" xfId="0" applyFont="1" applyFill="1" applyBorder="1" applyAlignment="1">
      <alignment vertical="center"/>
    </xf>
    <xf numFmtId="183" fontId="193" fillId="9" borderId="17" xfId="0" applyNumberFormat="1" applyFont="1" applyFill="1" applyBorder="1" applyAlignment="1">
      <alignment vertical="center"/>
    </xf>
    <xf numFmtId="183" fontId="193" fillId="9" borderId="0" xfId="0" applyNumberFormat="1" applyFont="1" applyFill="1" applyBorder="1" applyAlignment="1">
      <alignment vertical="center"/>
    </xf>
    <xf numFmtId="0" fontId="172" fillId="2" borderId="29" xfId="0" applyFont="1" applyFill="1" applyBorder="1" applyAlignment="1">
      <alignment horizontal="center"/>
    </xf>
    <xf numFmtId="0" fontId="166" fillId="2" borderId="0" xfId="0" applyFont="1" applyFill="1" applyBorder="1" applyAlignment="1">
      <alignment horizontal="center" vertical="center"/>
    </xf>
    <xf numFmtId="0" fontId="162" fillId="2" borderId="0" xfId="0" applyFont="1" applyFill="1" applyBorder="1" applyAlignment="1">
      <alignment horizontal="center"/>
    </xf>
    <xf numFmtId="0" fontId="166" fillId="2" borderId="16" xfId="0" applyFont="1" applyFill="1" applyBorder="1" applyAlignment="1">
      <alignment horizontal="left"/>
    </xf>
    <xf numFmtId="0" fontId="166" fillId="2" borderId="0" xfId="0" applyFont="1" applyFill="1" applyBorder="1" applyAlignment="1">
      <alignment horizontal="center"/>
    </xf>
    <xf numFmtId="0" fontId="175" fillId="2" borderId="0" xfId="0" applyFont="1" applyFill="1" applyAlignment="1">
      <alignment horizontal="center"/>
    </xf>
    <xf numFmtId="176" fontId="166" fillId="2" borderId="16" xfId="0" applyNumberFormat="1" applyFont="1" applyFill="1" applyBorder="1" applyAlignment="1">
      <alignment horizontal="center"/>
    </xf>
    <xf numFmtId="0" fontId="166" fillId="2" borderId="0" xfId="0" applyFont="1" applyFill="1" applyAlignment="1">
      <alignment horizontal="center"/>
    </xf>
    <xf numFmtId="0" fontId="189" fillId="2" borderId="28" xfId="0" applyFont="1" applyFill="1" applyBorder="1"/>
    <xf numFmtId="9" fontId="189" fillId="2" borderId="28" xfId="1" applyFont="1" applyFill="1" applyBorder="1" applyAlignment="1">
      <alignment horizontal="center"/>
    </xf>
    <xf numFmtId="0" fontId="189" fillId="2" borderId="28" xfId="0" applyFont="1" applyFill="1" applyBorder="1" applyAlignment="1">
      <alignment horizontal="left"/>
    </xf>
    <xf numFmtId="0" fontId="189" fillId="2" borderId="28" xfId="0" applyFont="1" applyFill="1" applyBorder="1" applyAlignment="1"/>
    <xf numFmtId="179" fontId="189" fillId="2" borderId="28" xfId="0" applyNumberFormat="1" applyFont="1" applyFill="1" applyBorder="1" applyAlignment="1"/>
    <xf numFmtId="0" fontId="209" fillId="19" borderId="0" xfId="0" applyFont="1" applyFill="1" applyAlignment="1"/>
    <xf numFmtId="0" fontId="175" fillId="2" borderId="0" xfId="0" applyFont="1" applyFill="1"/>
    <xf numFmtId="9" fontId="189" fillId="2" borderId="28" xfId="0" applyNumberFormat="1" applyFont="1" applyFill="1" applyBorder="1" applyAlignment="1"/>
    <xf numFmtId="0" fontId="210" fillId="2" borderId="0" xfId="0" applyFont="1" applyFill="1" applyBorder="1"/>
    <xf numFmtId="0" fontId="209" fillId="2" borderId="0" xfId="0" applyFont="1" applyFill="1" applyAlignment="1">
      <alignment horizontal="center"/>
    </xf>
    <xf numFmtId="0" fontId="211" fillId="2" borderId="0" xfId="0" applyFont="1" applyFill="1" applyBorder="1"/>
    <xf numFmtId="0" fontId="210" fillId="3" borderId="0" xfId="0" applyFont="1" applyFill="1" applyBorder="1"/>
    <xf numFmtId="0" fontId="166" fillId="20" borderId="30" xfId="0" applyFont="1" applyFill="1" applyBorder="1"/>
    <xf numFmtId="0" fontId="166" fillId="20" borderId="8" xfId="0" applyFont="1" applyFill="1" applyBorder="1"/>
    <xf numFmtId="0" fontId="169" fillId="20" borderId="8" xfId="0" applyFont="1" applyFill="1" applyBorder="1"/>
    <xf numFmtId="0" fontId="162" fillId="20" borderId="8" xfId="0" applyFont="1" applyFill="1" applyBorder="1"/>
    <xf numFmtId="0" fontId="166" fillId="20" borderId="3" xfId="0" applyFont="1" applyFill="1" applyBorder="1"/>
    <xf numFmtId="0" fontId="172" fillId="20" borderId="8" xfId="0" applyFont="1" applyFill="1" applyBorder="1"/>
    <xf numFmtId="0" fontId="166" fillId="20" borderId="1" xfId="0" applyFont="1" applyFill="1" applyBorder="1"/>
    <xf numFmtId="0" fontId="172" fillId="20" borderId="44" xfId="0" applyFont="1" applyFill="1" applyBorder="1"/>
    <xf numFmtId="0" fontId="166" fillId="20" borderId="18" xfId="0" applyFont="1" applyFill="1" applyBorder="1"/>
    <xf numFmtId="0" fontId="170" fillId="20" borderId="2" xfId="0" applyFont="1" applyFill="1" applyBorder="1" applyAlignment="1"/>
    <xf numFmtId="0" fontId="170" fillId="20" borderId="8" xfId="0" applyFont="1" applyFill="1" applyBorder="1" applyAlignment="1"/>
    <xf numFmtId="0" fontId="166" fillId="20" borderId="14" xfId="0" applyFont="1" applyFill="1" applyBorder="1"/>
    <xf numFmtId="0" fontId="173" fillId="20" borderId="6" xfId="0" applyFont="1" applyFill="1" applyBorder="1"/>
    <xf numFmtId="0" fontId="166" fillId="20" borderId="6" xfId="0" applyFont="1" applyFill="1" applyBorder="1"/>
    <xf numFmtId="0" fontId="166" fillId="2" borderId="2" xfId="0" applyFont="1" applyFill="1" applyBorder="1" applyAlignment="1"/>
    <xf numFmtId="0" fontId="166" fillId="2" borderId="8" xfId="0" applyFont="1" applyFill="1" applyBorder="1" applyAlignment="1"/>
    <xf numFmtId="0" fontId="166" fillId="2" borderId="8" xfId="0" applyFont="1" applyFill="1" applyBorder="1"/>
    <xf numFmtId="0" fontId="172" fillId="2" borderId="8" xfId="0" applyFont="1" applyFill="1" applyBorder="1" applyAlignment="1"/>
    <xf numFmtId="179" fontId="175" fillId="2" borderId="8" xfId="0" applyNumberFormat="1" applyFont="1" applyFill="1" applyBorder="1" applyAlignment="1"/>
    <xf numFmtId="0" fontId="166" fillId="2" borderId="3" xfId="0" applyFont="1" applyFill="1" applyBorder="1"/>
    <xf numFmtId="0" fontId="189" fillId="2" borderId="11" xfId="0" applyFont="1" applyFill="1" applyBorder="1"/>
    <xf numFmtId="9" fontId="185" fillId="2" borderId="12" xfId="1" applyFont="1" applyFill="1" applyBorder="1" applyAlignment="1">
      <alignment horizontal="center"/>
    </xf>
    <xf numFmtId="179" fontId="189" fillId="2" borderId="12" xfId="0" applyNumberFormat="1" applyFont="1" applyFill="1" applyBorder="1" applyAlignment="1"/>
    <xf numFmtId="0" fontId="0" fillId="2" borderId="12" xfId="0" applyFont="1" applyFill="1" applyBorder="1"/>
    <xf numFmtId="179" fontId="189" fillId="2" borderId="12" xfId="0" applyNumberFormat="1" applyFont="1" applyFill="1" applyBorder="1" applyAlignment="1">
      <alignment horizontal="center"/>
    </xf>
    <xf numFmtId="0" fontId="166" fillId="2" borderId="45" xfId="0" applyFont="1" applyFill="1" applyBorder="1"/>
    <xf numFmtId="0" fontId="166" fillId="2" borderId="17" xfId="0" applyFont="1" applyFill="1" applyBorder="1"/>
    <xf numFmtId="180" fontId="212" fillId="2" borderId="12" xfId="0" applyNumberFormat="1" applyFont="1" applyFill="1" applyBorder="1" applyAlignment="1">
      <alignment horizontal="right"/>
    </xf>
    <xf numFmtId="0" fontId="166" fillId="8" borderId="30" xfId="0" applyFont="1" applyFill="1" applyBorder="1"/>
    <xf numFmtId="0" fontId="208" fillId="8" borderId="30" xfId="0" applyFont="1" applyFill="1" applyBorder="1"/>
    <xf numFmtId="0" fontId="208" fillId="2" borderId="27" xfId="0" applyFont="1" applyFill="1" applyBorder="1"/>
    <xf numFmtId="0" fontId="208" fillId="2" borderId="33" xfId="0" applyFont="1" applyFill="1" applyBorder="1"/>
    <xf numFmtId="0" fontId="170" fillId="8" borderId="2" xfId="0" applyFont="1" applyFill="1" applyBorder="1" applyAlignment="1"/>
    <xf numFmtId="0" fontId="170" fillId="8" borderId="8" xfId="0" applyFont="1" applyFill="1" applyBorder="1" applyAlignment="1"/>
    <xf numFmtId="0" fontId="173" fillId="8" borderId="6" xfId="0" applyFont="1" applyFill="1" applyBorder="1"/>
    <xf numFmtId="0" fontId="166" fillId="8" borderId="6" xfId="0" applyFont="1" applyFill="1" applyBorder="1"/>
    <xf numFmtId="0" fontId="169" fillId="8" borderId="4" xfId="0" applyFont="1" applyFill="1" applyBorder="1"/>
    <xf numFmtId="0" fontId="162" fillId="8" borderId="16" xfId="0" applyFont="1" applyFill="1" applyBorder="1"/>
    <xf numFmtId="0" fontId="166" fillId="8" borderId="5" xfId="0" applyFont="1" applyFill="1" applyBorder="1"/>
    <xf numFmtId="0" fontId="172" fillId="8" borderId="4" xfId="0" applyFont="1" applyFill="1" applyBorder="1"/>
    <xf numFmtId="0" fontId="166" fillId="2" borderId="5" xfId="0" applyFont="1" applyFill="1" applyBorder="1" applyAlignment="1"/>
    <xf numFmtId="0" fontId="166" fillId="8" borderId="14" xfId="0" applyFont="1" applyFill="1" applyBorder="1"/>
    <xf numFmtId="0" fontId="213" fillId="19" borderId="0" xfId="0" applyFont="1" applyFill="1" applyAlignment="1"/>
    <xf numFmtId="0" fontId="214" fillId="2" borderId="0" xfId="0" applyFont="1" applyFill="1" applyAlignment="1"/>
    <xf numFmtId="0" fontId="213" fillId="2" borderId="0" xfId="0" applyFont="1" applyFill="1" applyAlignment="1"/>
    <xf numFmtId="0" fontId="214" fillId="19" borderId="0" xfId="0" applyFont="1" applyFill="1" applyAlignment="1"/>
    <xf numFmtId="0" fontId="210" fillId="2" borderId="0" xfId="0" applyFont="1" applyFill="1"/>
    <xf numFmtId="0" fontId="210" fillId="2" borderId="0" xfId="0" applyFont="1" applyFill="1" applyAlignment="1">
      <alignment horizontal="left"/>
    </xf>
    <xf numFmtId="0" fontId="214" fillId="2" borderId="0" xfId="0" applyFont="1" applyFill="1" applyAlignment="1">
      <alignment horizontal="center"/>
    </xf>
    <xf numFmtId="0" fontId="166" fillId="26" borderId="30" xfId="0" applyFont="1" applyFill="1" applyBorder="1"/>
    <xf numFmtId="0" fontId="170" fillId="26" borderId="8" xfId="0" applyFont="1" applyFill="1" applyBorder="1" applyAlignment="1"/>
    <xf numFmtId="0" fontId="166" fillId="26" borderId="14" xfId="0" applyFont="1" applyFill="1" applyBorder="1"/>
    <xf numFmtId="0" fontId="173" fillId="26" borderId="6" xfId="0" applyFont="1" applyFill="1" applyBorder="1"/>
    <xf numFmtId="0" fontId="166" fillId="26" borderId="6" xfId="0" applyFont="1" applyFill="1" applyBorder="1"/>
    <xf numFmtId="0" fontId="172" fillId="26" borderId="27" xfId="0" applyFont="1" applyFill="1" applyBorder="1"/>
    <xf numFmtId="0" fontId="166" fillId="26" borderId="33" xfId="0" applyFont="1" applyFill="1" applyBorder="1"/>
    <xf numFmtId="0" fontId="215" fillId="26" borderId="2" xfId="0" applyFont="1" applyFill="1" applyBorder="1" applyAlignment="1"/>
    <xf numFmtId="0" fontId="166" fillId="26" borderId="4" xfId="0" applyFont="1" applyFill="1" applyBorder="1" applyAlignment="1">
      <alignment horizontal="center"/>
    </xf>
    <xf numFmtId="0" fontId="175" fillId="2" borderId="0" xfId="0" applyFont="1" applyFill="1" applyAlignment="1">
      <alignment horizontal="left"/>
    </xf>
    <xf numFmtId="0" fontId="209" fillId="2" borderId="0" xfId="0" applyFont="1" applyFill="1" applyAlignment="1"/>
    <xf numFmtId="0" fontId="194" fillId="2" borderId="0" xfId="0" applyFont="1" applyFill="1" applyAlignment="1"/>
    <xf numFmtId="0" fontId="217" fillId="2" borderId="0" xfId="0" applyFont="1" applyFill="1"/>
    <xf numFmtId="0" fontId="218" fillId="2" borderId="0" xfId="0" applyFont="1" applyFill="1" applyBorder="1"/>
    <xf numFmtId="0" fontId="217" fillId="2" borderId="0" xfId="0" applyFont="1" applyFill="1" applyBorder="1"/>
    <xf numFmtId="0" fontId="219" fillId="2" borderId="0" xfId="0" applyFont="1" applyFill="1" applyBorder="1"/>
    <xf numFmtId="0" fontId="220" fillId="2" borderId="0" xfId="0" applyFont="1" applyFill="1"/>
    <xf numFmtId="0" fontId="219" fillId="2" borderId="0" xfId="0" applyFont="1" applyFill="1"/>
    <xf numFmtId="0" fontId="217" fillId="3" borderId="1" xfId="0" applyFont="1" applyFill="1" applyBorder="1" applyAlignment="1">
      <alignment horizontal="center"/>
    </xf>
    <xf numFmtId="0" fontId="220" fillId="3" borderId="1" xfId="0" applyFont="1" applyFill="1" applyBorder="1" applyAlignment="1">
      <alignment horizontal="center"/>
    </xf>
    <xf numFmtId="0" fontId="0" fillId="2" borderId="17" xfId="0" applyFont="1" applyFill="1" applyBorder="1"/>
    <xf numFmtId="179" fontId="175" fillId="2" borderId="0" xfId="0" applyNumberFormat="1" applyFont="1" applyFill="1" applyBorder="1" applyAlignment="1"/>
    <xf numFmtId="0" fontId="215" fillId="9" borderId="28" xfId="0" applyFont="1" applyFill="1" applyBorder="1" applyAlignment="1">
      <alignment horizontal="left"/>
    </xf>
    <xf numFmtId="0" fontId="145" fillId="0" borderId="0" xfId="0" applyFont="1"/>
    <xf numFmtId="0" fontId="222" fillId="2" borderId="0" xfId="0" applyFont="1" applyFill="1"/>
    <xf numFmtId="0" fontId="222" fillId="2" borderId="1" xfId="0" applyFont="1" applyFill="1" applyBorder="1"/>
    <xf numFmtId="0" fontId="222" fillId="2" borderId="0" xfId="0" applyFont="1" applyFill="1" applyAlignment="1"/>
    <xf numFmtId="0" fontId="166" fillId="9" borderId="0" xfId="0" applyFont="1" applyFill="1" applyAlignment="1">
      <alignment horizontal="center"/>
    </xf>
    <xf numFmtId="0" fontId="185" fillId="2" borderId="1" xfId="0" applyFont="1" applyFill="1" applyBorder="1"/>
    <xf numFmtId="0" fontId="185" fillId="2" borderId="0" xfId="0" applyFont="1" applyFill="1"/>
    <xf numFmtId="0" fontId="185" fillId="2" borderId="0" xfId="0" applyFont="1" applyFill="1" applyAlignment="1"/>
    <xf numFmtId="0" fontId="223" fillId="20" borderId="0" xfId="0" applyFont="1" applyFill="1"/>
    <xf numFmtId="0" fontId="223" fillId="20" borderId="0" xfId="0" applyFont="1" applyFill="1" applyAlignment="1"/>
    <xf numFmtId="0" fontId="223" fillId="2" borderId="0" xfId="0" applyFont="1" applyFill="1"/>
    <xf numFmtId="0" fontId="223" fillId="19" borderId="0" xfId="0" applyFont="1" applyFill="1"/>
    <xf numFmtId="0" fontId="223" fillId="2" borderId="0" xfId="0" applyFont="1" applyFill="1" applyAlignment="1"/>
    <xf numFmtId="0" fontId="223" fillId="19" borderId="0" xfId="0" applyFont="1" applyFill="1" applyAlignment="1"/>
    <xf numFmtId="0" fontId="223" fillId="2" borderId="0" xfId="0" applyFont="1" applyFill="1" applyAlignment="1">
      <alignment horizontal="center" vertical="center"/>
    </xf>
    <xf numFmtId="0" fontId="223" fillId="22" borderId="0" xfId="0" applyFont="1" applyFill="1"/>
    <xf numFmtId="0" fontId="223" fillId="22" borderId="0" xfId="0" applyFont="1" applyFill="1" applyAlignment="1"/>
    <xf numFmtId="0" fontId="223" fillId="22" borderId="0" xfId="0" applyFont="1" applyFill="1" applyAlignment="1">
      <alignment horizontal="center" vertical="center"/>
    </xf>
    <xf numFmtId="0" fontId="189" fillId="9" borderId="16" xfId="0" applyFont="1" applyFill="1" applyBorder="1"/>
    <xf numFmtId="0" fontId="0" fillId="2" borderId="0" xfId="0" quotePrefix="1" applyFill="1"/>
    <xf numFmtId="0" fontId="224" fillId="17" borderId="0" xfId="0" applyFont="1" applyFill="1"/>
    <xf numFmtId="0" fontId="224" fillId="17" borderId="0" xfId="0" applyFont="1" applyFill="1" applyAlignment="1"/>
    <xf numFmtId="0" fontId="224" fillId="17" borderId="0" xfId="0" applyFont="1" applyFill="1" applyAlignment="1">
      <alignment horizontal="right"/>
    </xf>
    <xf numFmtId="0" fontId="224" fillId="17" borderId="0" xfId="0" applyFont="1" applyFill="1" applyAlignment="1">
      <alignment horizontal="center" vertical="center"/>
    </xf>
    <xf numFmtId="0" fontId="224" fillId="24" borderId="0" xfId="0" applyFont="1" applyFill="1"/>
    <xf numFmtId="0" fontId="224" fillId="24" borderId="0" xfId="0" applyFont="1" applyFill="1" applyAlignment="1">
      <alignment horizontal="right"/>
    </xf>
    <xf numFmtId="0" fontId="224" fillId="19" borderId="0" xfId="0" applyFont="1" applyFill="1"/>
    <xf numFmtId="0" fontId="224" fillId="9" borderId="4" xfId="0" applyFont="1" applyFill="1" applyBorder="1"/>
    <xf numFmtId="0" fontId="224" fillId="9" borderId="16" xfId="0" applyFont="1" applyFill="1" applyBorder="1"/>
    <xf numFmtId="0" fontId="224" fillId="9" borderId="16" xfId="0" applyFont="1" applyFill="1" applyBorder="1" applyAlignment="1">
      <alignment horizontal="right"/>
    </xf>
    <xf numFmtId="167" fontId="224" fillId="9" borderId="16" xfId="0" applyNumberFormat="1" applyFont="1" applyFill="1" applyBorder="1" applyAlignment="1"/>
    <xf numFmtId="0" fontId="224" fillId="2" borderId="0" xfId="0" applyFont="1" applyFill="1"/>
    <xf numFmtId="0" fontId="224" fillId="19" borderId="0" xfId="0" applyFont="1" applyFill="1" applyAlignment="1"/>
    <xf numFmtId="0" fontId="189" fillId="2" borderId="0" xfId="0" applyFont="1" applyFill="1"/>
    <xf numFmtId="0" fontId="191" fillId="9" borderId="0" xfId="0" applyFont="1" applyFill="1" applyBorder="1" applyAlignment="1">
      <alignment horizontal="left" vertical="center"/>
    </xf>
    <xf numFmtId="0" fontId="152" fillId="2" borderId="0" xfId="0" applyFont="1" applyFill="1"/>
    <xf numFmtId="0" fontId="225" fillId="19" borderId="0" xfId="0" applyFont="1" applyFill="1" applyAlignment="1"/>
    <xf numFmtId="0" fontId="226" fillId="19" borderId="0" xfId="0" applyFont="1" applyFill="1" applyAlignment="1"/>
    <xf numFmtId="0" fontId="152" fillId="2" borderId="0" xfId="0" applyFont="1" applyFill="1" applyBorder="1"/>
    <xf numFmtId="0" fontId="152" fillId="18" borderId="0" xfId="0" applyFont="1" applyFill="1"/>
    <xf numFmtId="0" fontId="152" fillId="2" borderId="4" xfId="0" applyFont="1" applyFill="1" applyBorder="1"/>
    <xf numFmtId="0" fontId="152" fillId="2" borderId="5" xfId="0" applyFont="1" applyFill="1" applyBorder="1"/>
    <xf numFmtId="0" fontId="228" fillId="2" borderId="16" xfId="0" applyFont="1" applyFill="1" applyBorder="1"/>
    <xf numFmtId="0" fontId="152" fillId="2" borderId="31" xfId="0" applyFont="1" applyFill="1" applyBorder="1"/>
    <xf numFmtId="0" fontId="231" fillId="2" borderId="6" xfId="0" applyFont="1" applyFill="1" applyBorder="1"/>
    <xf numFmtId="0" fontId="152" fillId="2" borderId="6" xfId="0" applyFont="1" applyFill="1" applyBorder="1"/>
    <xf numFmtId="0" fontId="232" fillId="2" borderId="0" xfId="0" applyFont="1" applyFill="1" applyBorder="1" applyAlignment="1"/>
    <xf numFmtId="0" fontId="227" fillId="2" borderId="0" xfId="0" applyFont="1" applyFill="1" applyBorder="1" applyAlignment="1">
      <alignment horizontal="center"/>
    </xf>
    <xf numFmtId="176" fontId="234" fillId="2" borderId="0" xfId="0" applyNumberFormat="1" applyFont="1" applyFill="1" applyBorder="1" applyAlignment="1"/>
    <xf numFmtId="0" fontId="152" fillId="2" borderId="30" xfId="0" applyFont="1" applyFill="1" applyBorder="1"/>
    <xf numFmtId="0" fontId="226" fillId="2" borderId="30" xfId="0" applyFont="1" applyFill="1" applyBorder="1"/>
    <xf numFmtId="0" fontId="152" fillId="2" borderId="28" xfId="0" applyFont="1" applyFill="1" applyBorder="1"/>
    <xf numFmtId="0" fontId="229" fillId="2" borderId="28" xfId="0" applyFont="1" applyFill="1" applyBorder="1"/>
    <xf numFmtId="0" fontId="232" fillId="2" borderId="27" xfId="0" applyFont="1" applyFill="1" applyBorder="1"/>
    <xf numFmtId="0" fontId="152" fillId="2" borderId="33" xfId="0" applyFont="1" applyFill="1" applyBorder="1"/>
    <xf numFmtId="0" fontId="152" fillId="2" borderId="0" xfId="0" applyFont="1" applyFill="1" applyAlignment="1">
      <alignment horizontal="center"/>
    </xf>
    <xf numFmtId="0" fontId="152" fillId="2" borderId="0" xfId="0" applyFont="1" applyFill="1" applyAlignment="1"/>
    <xf numFmtId="0" fontId="152" fillId="9" borderId="16" xfId="0" applyFont="1" applyFill="1" applyBorder="1" applyAlignment="1">
      <alignment horizontal="center"/>
    </xf>
    <xf numFmtId="0" fontId="229" fillId="9" borderId="16" xfId="0" applyFont="1" applyFill="1" applyBorder="1" applyAlignment="1">
      <alignment horizontal="left"/>
    </xf>
    <xf numFmtId="0" fontId="152" fillId="9" borderId="16" xfId="0" applyFont="1" applyFill="1" applyBorder="1" applyAlignment="1"/>
    <xf numFmtId="176" fontId="152" fillId="2" borderId="16" xfId="0" applyNumberFormat="1" applyFont="1" applyFill="1" applyBorder="1" applyAlignment="1">
      <alignment horizontal="center"/>
    </xf>
    <xf numFmtId="0" fontId="152" fillId="2" borderId="16" xfId="0" applyFont="1" applyFill="1" applyBorder="1" applyAlignment="1"/>
    <xf numFmtId="0" fontId="152" fillId="2" borderId="0" xfId="0" applyFont="1" applyFill="1" applyBorder="1" applyAlignment="1"/>
    <xf numFmtId="0" fontId="229" fillId="2" borderId="0" xfId="0" applyFont="1" applyFill="1" applyBorder="1" applyAlignment="1">
      <alignment vertical="center"/>
    </xf>
    <xf numFmtId="0" fontId="152" fillId="2" borderId="0" xfId="0" applyFont="1" applyFill="1" applyBorder="1" applyAlignment="1">
      <alignment vertical="center"/>
    </xf>
    <xf numFmtId="44" fontId="152" fillId="2" borderId="0" xfId="3" applyFont="1" applyFill="1" applyBorder="1" applyAlignment="1">
      <alignment vertical="center"/>
    </xf>
    <xf numFmtId="177" fontId="152" fillId="2" borderId="0" xfId="3" applyNumberFormat="1" applyFont="1" applyFill="1" applyBorder="1" applyAlignment="1">
      <alignment vertical="center"/>
    </xf>
    <xf numFmtId="0" fontId="226" fillId="2" borderId="0" xfId="0" applyFont="1" applyFill="1" applyAlignment="1">
      <alignment horizontal="center"/>
    </xf>
    <xf numFmtId="0" fontId="232" fillId="2" borderId="4" xfId="0" applyFont="1" applyFill="1" applyBorder="1"/>
    <xf numFmtId="0" fontId="152" fillId="2" borderId="16" xfId="0" applyFont="1" applyFill="1" applyBorder="1"/>
    <xf numFmtId="0" fontId="230" fillId="2" borderId="9" xfId="0" applyFont="1" applyFill="1" applyBorder="1"/>
    <xf numFmtId="0" fontId="230" fillId="2" borderId="10" xfId="0" applyFont="1" applyFill="1" applyBorder="1"/>
    <xf numFmtId="0" fontId="152" fillId="2" borderId="14" xfId="0" applyFont="1" applyFill="1" applyBorder="1"/>
    <xf numFmtId="0" fontId="152" fillId="2" borderId="30" xfId="0" applyFont="1" applyFill="1" applyBorder="1" applyAlignment="1">
      <alignment horizontal="center" vertical="center"/>
    </xf>
    <xf numFmtId="0" fontId="232" fillId="2" borderId="16" xfId="0" applyFont="1" applyFill="1" applyBorder="1" applyAlignment="1">
      <alignment horizontal="center"/>
    </xf>
    <xf numFmtId="0" fontId="152" fillId="2" borderId="28" xfId="0" applyFont="1" applyFill="1" applyBorder="1" applyAlignment="1">
      <alignment horizontal="center" vertical="center"/>
    </xf>
    <xf numFmtId="0" fontId="152" fillId="2" borderId="33" xfId="0" applyFont="1" applyFill="1" applyBorder="1" applyAlignment="1">
      <alignment horizontal="center" vertical="center"/>
    </xf>
    <xf numFmtId="0" fontId="229" fillId="2" borderId="16" xfId="0" applyFont="1" applyFill="1" applyBorder="1" applyAlignment="1">
      <alignment horizontal="center"/>
    </xf>
    <xf numFmtId="0" fontId="152" fillId="2" borderId="29" xfId="0" applyFont="1" applyFill="1" applyBorder="1" applyAlignment="1">
      <alignment horizontal="center" vertical="center"/>
    </xf>
    <xf numFmtId="0" fontId="152" fillId="2" borderId="0" xfId="0" applyFont="1" applyFill="1" applyBorder="1" applyAlignment="1">
      <alignment horizontal="center"/>
    </xf>
    <xf numFmtId="0" fontId="152" fillId="2" borderId="0" xfId="0" applyFont="1" applyFill="1" applyBorder="1" applyAlignment="1">
      <alignment horizontal="center" vertical="center"/>
    </xf>
    <xf numFmtId="0" fontId="229" fillId="2" borderId="0" xfId="0" applyFont="1" applyFill="1" applyBorder="1" applyAlignment="1">
      <alignment horizontal="center"/>
    </xf>
    <xf numFmtId="176" fontId="233" fillId="2" borderId="0" xfId="0" applyNumberFormat="1" applyFont="1" applyFill="1" applyBorder="1" applyAlignment="1">
      <alignment horizontal="center"/>
    </xf>
    <xf numFmtId="0" fontId="152" fillId="9" borderId="28" xfId="0" applyFont="1" applyFill="1" applyBorder="1" applyAlignment="1">
      <alignment horizontal="center"/>
    </xf>
    <xf numFmtId="0" fontId="229" fillId="9" borderId="28" xfId="0" applyFont="1" applyFill="1" applyBorder="1" applyAlignment="1">
      <alignment horizontal="left"/>
    </xf>
    <xf numFmtId="0" fontId="152" fillId="9" borderId="28" xfId="0" applyFont="1" applyFill="1" applyBorder="1" applyAlignment="1"/>
    <xf numFmtId="0" fontId="152" fillId="2" borderId="28" xfId="0" applyFont="1" applyFill="1" applyBorder="1" applyAlignment="1"/>
    <xf numFmtId="0" fontId="152" fillId="2" borderId="31" xfId="0" applyFont="1" applyFill="1" applyBorder="1" applyAlignment="1"/>
    <xf numFmtId="0" fontId="152" fillId="2" borderId="29" xfId="0" applyFont="1" applyFill="1" applyBorder="1" applyAlignment="1"/>
    <xf numFmtId="0" fontId="152" fillId="2" borderId="34" xfId="0" applyFont="1" applyFill="1" applyBorder="1" applyAlignment="1"/>
    <xf numFmtId="0" fontId="152" fillId="2" borderId="4" xfId="0" applyFont="1" applyFill="1" applyBorder="1" applyAlignment="1"/>
    <xf numFmtId="0" fontId="233" fillId="2" borderId="30" xfId="0" applyFont="1" applyFill="1" applyBorder="1"/>
    <xf numFmtId="0" fontId="233" fillId="2" borderId="28" xfId="0" applyFont="1" applyFill="1" applyBorder="1" applyAlignment="1">
      <alignment horizontal="center"/>
    </xf>
    <xf numFmtId="177" fontId="233" fillId="2" borderId="16" xfId="0" applyNumberFormat="1" applyFont="1" applyFill="1" applyBorder="1" applyAlignment="1">
      <alignment horizontal="center"/>
    </xf>
    <xf numFmtId="0" fontId="233" fillId="2" borderId="28" xfId="0" applyFont="1" applyFill="1" applyBorder="1" applyAlignment="1">
      <alignment horizontal="left"/>
    </xf>
    <xf numFmtId="0" fontId="233" fillId="2" borderId="28" xfId="0" applyFont="1" applyFill="1" applyBorder="1" applyAlignment="1"/>
    <xf numFmtId="0" fontId="233" fillId="2" borderId="33" xfId="0" applyFont="1" applyFill="1" applyBorder="1"/>
    <xf numFmtId="0" fontId="233" fillId="2" borderId="29" xfId="0" applyFont="1" applyFill="1" applyBorder="1"/>
    <xf numFmtId="0" fontId="233" fillId="2" borderId="29" xfId="0" applyFont="1" applyFill="1" applyBorder="1" applyAlignment="1">
      <alignment horizontal="center"/>
    </xf>
    <xf numFmtId="0" fontId="152" fillId="2" borderId="29" xfId="0" applyFont="1" applyFill="1" applyBorder="1"/>
    <xf numFmtId="0" fontId="233" fillId="2" borderId="34" xfId="0" applyFont="1" applyFill="1" applyBorder="1"/>
    <xf numFmtId="0" fontId="229" fillId="2" borderId="0" xfId="0" applyFont="1" applyFill="1" applyBorder="1" applyAlignment="1">
      <alignment horizontal="left"/>
    </xf>
    <xf numFmtId="176" fontId="226" fillId="2" borderId="0" xfId="0" applyNumberFormat="1" applyFont="1" applyFill="1" applyBorder="1" applyAlignment="1"/>
    <xf numFmtId="176" fontId="152" fillId="2" borderId="0" xfId="0" applyNumberFormat="1" applyFont="1" applyFill="1" applyBorder="1" applyAlignment="1">
      <alignment horizontal="center"/>
    </xf>
    <xf numFmtId="0" fontId="232" fillId="2" borderId="0" xfId="0" applyFont="1" applyFill="1" applyBorder="1" applyAlignment="1">
      <alignment horizontal="left"/>
    </xf>
    <xf numFmtId="0" fontId="236" fillId="19" borderId="0" xfId="0" applyFont="1" applyFill="1" applyAlignment="1"/>
    <xf numFmtId="0" fontId="237" fillId="19" borderId="0" xfId="0" applyFont="1" applyFill="1" applyAlignment="1"/>
    <xf numFmtId="0" fontId="238" fillId="2" borderId="0" xfId="0" applyFont="1" applyFill="1"/>
    <xf numFmtId="0" fontId="238" fillId="2" borderId="0" xfId="0" applyFont="1" applyFill="1" applyBorder="1"/>
    <xf numFmtId="0" fontId="238" fillId="0" borderId="0" xfId="0" applyFont="1"/>
    <xf numFmtId="176" fontId="238" fillId="18" borderId="0" xfId="0" applyNumberFormat="1" applyFont="1" applyFill="1" applyAlignment="1">
      <alignment horizontal="left"/>
    </xf>
    <xf numFmtId="0" fontId="238" fillId="2" borderId="4" xfId="0" applyFont="1" applyFill="1" applyBorder="1"/>
    <xf numFmtId="0" fontId="238" fillId="2" borderId="5" xfId="0" applyFont="1" applyFill="1" applyBorder="1"/>
    <xf numFmtId="0" fontId="241" fillId="2" borderId="4" xfId="0" applyFont="1" applyFill="1" applyBorder="1"/>
    <xf numFmtId="0" fontId="241" fillId="2" borderId="16" xfId="0" applyFont="1" applyFill="1" applyBorder="1"/>
    <xf numFmtId="0" fontId="243" fillId="2" borderId="30" xfId="0" applyFont="1" applyFill="1" applyBorder="1"/>
    <xf numFmtId="0" fontId="243" fillId="2" borderId="28" xfId="0" applyFont="1" applyFill="1" applyBorder="1"/>
    <xf numFmtId="0" fontId="238" fillId="2" borderId="31" xfId="0" applyFont="1" applyFill="1" applyBorder="1"/>
    <xf numFmtId="0" fontId="244" fillId="2" borderId="6" xfId="0" applyFont="1" applyFill="1" applyBorder="1"/>
    <xf numFmtId="0" fontId="238" fillId="2" borderId="6" xfId="0" applyFont="1" applyFill="1" applyBorder="1"/>
    <xf numFmtId="0" fontId="245" fillId="2" borderId="29" xfId="0" applyFont="1" applyFill="1" applyBorder="1" applyAlignment="1">
      <alignment horizontal="center"/>
    </xf>
    <xf numFmtId="0" fontId="245" fillId="2" borderId="0" xfId="0" applyFont="1" applyFill="1" applyBorder="1" applyAlignment="1"/>
    <xf numFmtId="0" fontId="240" fillId="2" borderId="0" xfId="0" applyFont="1" applyFill="1" applyBorder="1" applyAlignment="1">
      <alignment horizontal="center"/>
    </xf>
    <xf numFmtId="176" fontId="247" fillId="2" borderId="0" xfId="0" applyNumberFormat="1" applyFont="1" applyFill="1" applyBorder="1" applyAlignment="1"/>
    <xf numFmtId="0" fontId="238" fillId="2" borderId="30" xfId="0" applyFont="1" applyFill="1" applyBorder="1"/>
    <xf numFmtId="0" fontId="237" fillId="2" borderId="30" xfId="0" applyFont="1" applyFill="1" applyBorder="1"/>
    <xf numFmtId="0" fontId="238" fillId="2" borderId="28" xfId="0" applyFont="1" applyFill="1" applyBorder="1"/>
    <xf numFmtId="0" fontId="242" fillId="2" borderId="28" xfId="0" applyFont="1" applyFill="1" applyBorder="1"/>
    <xf numFmtId="0" fontId="245" fillId="2" borderId="27" xfId="0" applyFont="1" applyFill="1" applyBorder="1"/>
    <xf numFmtId="0" fontId="238" fillId="2" borderId="33" xfId="0" applyFont="1" applyFill="1" applyBorder="1"/>
    <xf numFmtId="0" fontId="238" fillId="2" borderId="0" xfId="0" applyFont="1" applyFill="1" applyAlignment="1">
      <alignment horizontal="center"/>
    </xf>
    <xf numFmtId="0" fontId="238" fillId="2" borderId="0" xfId="0" applyFont="1" applyFill="1" applyAlignment="1"/>
    <xf numFmtId="0" fontId="238" fillId="9" borderId="16" xfId="0" applyFont="1" applyFill="1" applyBorder="1" applyAlignment="1">
      <alignment horizontal="center"/>
    </xf>
    <xf numFmtId="0" fontId="242" fillId="9" borderId="16" xfId="0" applyFont="1" applyFill="1" applyBorder="1" applyAlignment="1">
      <alignment horizontal="left"/>
    </xf>
    <xf numFmtId="0" fontId="238" fillId="9" borderId="16" xfId="0" applyFont="1" applyFill="1" applyBorder="1" applyAlignment="1"/>
    <xf numFmtId="176" fontId="238" fillId="2" borderId="16" xfId="0" applyNumberFormat="1" applyFont="1" applyFill="1" applyBorder="1" applyAlignment="1">
      <alignment horizontal="center"/>
    </xf>
    <xf numFmtId="0" fontId="238" fillId="2" borderId="16" xfId="0" applyFont="1" applyFill="1" applyBorder="1" applyAlignment="1"/>
    <xf numFmtId="0" fontId="245" fillId="2" borderId="16" xfId="0" applyFont="1" applyFill="1" applyBorder="1" applyAlignment="1">
      <alignment horizontal="left"/>
    </xf>
    <xf numFmtId="0" fontId="238" fillId="2" borderId="0" xfId="0" applyFont="1" applyFill="1" applyBorder="1" applyAlignment="1"/>
    <xf numFmtId="0" fontId="248" fillId="2" borderId="28" xfId="0" applyFont="1" applyFill="1" applyBorder="1"/>
    <xf numFmtId="0" fontId="242" fillId="2" borderId="0" xfId="0" applyFont="1" applyFill="1" applyBorder="1" applyAlignment="1">
      <alignment vertical="center"/>
    </xf>
    <xf numFmtId="0" fontId="238" fillId="2" borderId="0" xfId="0" applyFont="1" applyFill="1" applyBorder="1" applyAlignment="1">
      <alignment vertical="center"/>
    </xf>
    <xf numFmtId="44" fontId="238" fillId="2" borderId="0" xfId="3" applyFont="1" applyFill="1" applyBorder="1" applyAlignment="1">
      <alignment vertical="center"/>
    </xf>
    <xf numFmtId="177" fontId="238" fillId="2" borderId="0" xfId="3" applyNumberFormat="1" applyFont="1" applyFill="1" applyBorder="1" applyAlignment="1">
      <alignment vertical="center"/>
    </xf>
    <xf numFmtId="0" fontId="236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179" fontId="189" fillId="2" borderId="28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52" fillId="2" borderId="16" xfId="0" applyFont="1" applyFill="1" applyBorder="1" applyAlignment="1">
      <alignment horizontal="left"/>
    </xf>
    <xf numFmtId="0" fontId="232" fillId="2" borderId="29" xfId="0" applyFont="1" applyFill="1" applyBorder="1" applyAlignment="1">
      <alignment horizontal="center"/>
    </xf>
    <xf numFmtId="0" fontId="175" fillId="9" borderId="10" xfId="0" applyFont="1" applyFill="1" applyBorder="1" applyAlignment="1">
      <alignment horizontal="center"/>
    </xf>
    <xf numFmtId="0" fontId="175" fillId="9" borderId="36" xfId="0" applyFont="1" applyFill="1" applyBorder="1" applyAlignment="1">
      <alignment horizontal="center"/>
    </xf>
    <xf numFmtId="0" fontId="175" fillId="2" borderId="0" xfId="0" applyFont="1" applyFill="1" applyAlignment="1">
      <alignment horizontal="center"/>
    </xf>
    <xf numFmtId="0" fontId="175" fillId="2" borderId="29" xfId="0" applyFont="1" applyFill="1" applyBorder="1" applyAlignment="1">
      <alignment horizontal="center"/>
    </xf>
    <xf numFmtId="0" fontId="196" fillId="2" borderId="0" xfId="0" applyFont="1" applyFill="1" applyBorder="1" applyAlignment="1">
      <alignment horizontal="center"/>
    </xf>
    <xf numFmtId="0" fontId="175" fillId="2" borderId="0" xfId="0" applyFont="1" applyFill="1" applyBorder="1" applyAlignment="1">
      <alignment horizontal="center"/>
    </xf>
    <xf numFmtId="0" fontId="249" fillId="2" borderId="0" xfId="0" applyFont="1" applyFill="1"/>
    <xf numFmtId="0" fontId="250" fillId="2" borderId="0" xfId="0" applyFont="1" applyFill="1"/>
    <xf numFmtId="0" fontId="251" fillId="2" borderId="0" xfId="4" applyFont="1" applyFill="1" applyAlignment="1" applyProtection="1"/>
    <xf numFmtId="0" fontId="252" fillId="19" borderId="0" xfId="0" applyFont="1" applyFill="1" applyAlignment="1"/>
    <xf numFmtId="0" fontId="253" fillId="19" borderId="0" xfId="0" applyFont="1" applyFill="1" applyAlignment="1"/>
    <xf numFmtId="0" fontId="254" fillId="2" borderId="0" xfId="0" applyFont="1" applyFill="1"/>
    <xf numFmtId="0" fontId="255" fillId="2" borderId="0" xfId="0" applyFont="1" applyFill="1" applyAlignment="1"/>
    <xf numFmtId="0" fontId="253" fillId="2" borderId="0" xfId="0" applyFont="1" applyFill="1" applyAlignment="1"/>
    <xf numFmtId="0" fontId="252" fillId="2" borderId="0" xfId="0" applyFont="1" applyFill="1" applyAlignment="1"/>
    <xf numFmtId="0" fontId="254" fillId="2" borderId="0" xfId="0" applyFont="1" applyFill="1" applyBorder="1"/>
    <xf numFmtId="0" fontId="254" fillId="0" borderId="0" xfId="0" applyFont="1"/>
    <xf numFmtId="0" fontId="254" fillId="18" borderId="0" xfId="0" applyFont="1" applyFill="1"/>
    <xf numFmtId="176" fontId="254" fillId="18" borderId="0" xfId="0" applyNumberFormat="1" applyFont="1" applyFill="1" applyAlignment="1">
      <alignment horizontal="left"/>
    </xf>
    <xf numFmtId="0" fontId="254" fillId="2" borderId="4" xfId="0" applyFont="1" applyFill="1" applyBorder="1"/>
    <xf numFmtId="0" fontId="254" fillId="2" borderId="5" xfId="0" applyFont="1" applyFill="1" applyBorder="1"/>
    <xf numFmtId="0" fontId="258" fillId="2" borderId="4" xfId="0" applyFont="1" applyFill="1" applyBorder="1"/>
    <xf numFmtId="0" fontId="258" fillId="2" borderId="16" xfId="0" applyFont="1" applyFill="1" applyBorder="1"/>
    <xf numFmtId="0" fontId="260" fillId="2" borderId="30" xfId="0" applyFont="1" applyFill="1" applyBorder="1"/>
    <xf numFmtId="0" fontId="260" fillId="2" borderId="28" xfId="0" applyFont="1" applyFill="1" applyBorder="1"/>
    <xf numFmtId="0" fontId="254" fillId="2" borderId="31" xfId="0" applyFont="1" applyFill="1" applyBorder="1"/>
    <xf numFmtId="0" fontId="261" fillId="2" borderId="6" xfId="0" applyFont="1" applyFill="1" applyBorder="1"/>
    <xf numFmtId="0" fontId="254" fillId="2" borderId="6" xfId="0" applyFont="1" applyFill="1" applyBorder="1"/>
    <xf numFmtId="0" fontId="262" fillId="2" borderId="29" xfId="0" applyFont="1" applyFill="1" applyBorder="1" applyAlignment="1">
      <alignment horizontal="center"/>
    </xf>
    <xf numFmtId="0" fontId="262" fillId="2" borderId="0" xfId="0" applyFont="1" applyFill="1" applyBorder="1" applyAlignment="1"/>
    <xf numFmtId="0" fontId="257" fillId="2" borderId="0" xfId="0" applyFont="1" applyFill="1" applyBorder="1" applyAlignment="1">
      <alignment horizontal="center"/>
    </xf>
    <xf numFmtId="176" fontId="264" fillId="2" borderId="0" xfId="0" applyNumberFormat="1" applyFont="1" applyFill="1" applyBorder="1" applyAlignment="1"/>
    <xf numFmtId="0" fontId="254" fillId="2" borderId="30" xfId="0" applyFont="1" applyFill="1" applyBorder="1"/>
    <xf numFmtId="0" fontId="253" fillId="2" borderId="30" xfId="0" applyFont="1" applyFill="1" applyBorder="1"/>
    <xf numFmtId="0" fontId="254" fillId="2" borderId="28" xfId="0" applyFont="1" applyFill="1" applyBorder="1"/>
    <xf numFmtId="0" fontId="259" fillId="2" borderId="28" xfId="0" applyFont="1" applyFill="1" applyBorder="1"/>
    <xf numFmtId="0" fontId="262" fillId="2" borderId="27" xfId="0" applyFont="1" applyFill="1" applyBorder="1"/>
    <xf numFmtId="0" fontId="254" fillId="2" borderId="33" xfId="0" applyFont="1" applyFill="1" applyBorder="1"/>
    <xf numFmtId="0" fontId="254" fillId="2" borderId="0" xfId="0" applyFont="1" applyFill="1" applyAlignment="1">
      <alignment horizontal="center"/>
    </xf>
    <xf numFmtId="0" fontId="254" fillId="2" borderId="0" xfId="0" applyFont="1" applyFill="1" applyAlignment="1"/>
    <xf numFmtId="0" fontId="254" fillId="9" borderId="16" xfId="0" applyFont="1" applyFill="1" applyBorder="1" applyAlignment="1">
      <alignment horizontal="center"/>
    </xf>
    <xf numFmtId="0" fontId="259" fillId="9" borderId="16" xfId="0" applyFont="1" applyFill="1" applyBorder="1" applyAlignment="1">
      <alignment horizontal="left"/>
    </xf>
    <xf numFmtId="0" fontId="254" fillId="9" borderId="16" xfId="0" applyFont="1" applyFill="1" applyBorder="1" applyAlignment="1"/>
    <xf numFmtId="176" fontId="254" fillId="2" borderId="16" xfId="0" applyNumberFormat="1" applyFont="1" applyFill="1" applyBorder="1" applyAlignment="1">
      <alignment horizontal="center"/>
    </xf>
    <xf numFmtId="0" fontId="254" fillId="2" borderId="16" xfId="0" applyFont="1" applyFill="1" applyBorder="1" applyAlignment="1"/>
    <xf numFmtId="0" fontId="262" fillId="2" borderId="16" xfId="0" applyFont="1" applyFill="1" applyBorder="1" applyAlignment="1">
      <alignment horizontal="left"/>
    </xf>
    <xf numFmtId="0" fontId="254" fillId="2" borderId="0" xfId="0" applyFont="1" applyFill="1" applyBorder="1" applyAlignment="1"/>
    <xf numFmtId="0" fontId="265" fillId="2" borderId="28" xfId="0" applyFont="1" applyFill="1" applyBorder="1"/>
    <xf numFmtId="0" fontId="259" fillId="2" borderId="0" xfId="0" applyFont="1" applyFill="1" applyBorder="1" applyAlignment="1">
      <alignment vertical="center"/>
    </xf>
    <xf numFmtId="0" fontId="254" fillId="2" borderId="0" xfId="0" applyFont="1" applyFill="1" applyBorder="1" applyAlignment="1">
      <alignment vertical="center"/>
    </xf>
    <xf numFmtId="44" fontId="254" fillId="2" borderId="0" xfId="3" applyFont="1" applyFill="1" applyBorder="1" applyAlignment="1">
      <alignment vertical="center"/>
    </xf>
    <xf numFmtId="177" fontId="254" fillId="2" borderId="0" xfId="3" applyNumberFormat="1" applyFont="1" applyFill="1" applyBorder="1" applyAlignment="1">
      <alignment vertical="center"/>
    </xf>
    <xf numFmtId="0" fontId="151" fillId="2" borderId="0" xfId="0" applyFont="1" applyFill="1" applyAlignment="1">
      <alignment horizontal="center"/>
    </xf>
    <xf numFmtId="0" fontId="0" fillId="0" borderId="0" xfId="0" applyFont="1"/>
    <xf numFmtId="0" fontId="152" fillId="3" borderId="0" xfId="0" applyFont="1" applyFill="1" applyBorder="1"/>
    <xf numFmtId="0" fontId="234" fillId="2" borderId="0" xfId="0" applyFont="1" applyFill="1" applyBorder="1"/>
    <xf numFmtId="0" fontId="0" fillId="2" borderId="30" xfId="0" applyFont="1" applyFill="1" applyBorder="1"/>
    <xf numFmtId="0" fontId="267" fillId="2" borderId="2" xfId="0" applyFont="1" applyFill="1" applyBorder="1" applyAlignment="1"/>
    <xf numFmtId="0" fontId="267" fillId="2" borderId="8" xfId="0" applyFont="1" applyFill="1" applyBorder="1" applyAlignment="1"/>
    <xf numFmtId="0" fontId="0" fillId="2" borderId="14" xfId="0" applyFont="1" applyFill="1" applyBorder="1"/>
    <xf numFmtId="0" fontId="268" fillId="2" borderId="6" xfId="0" applyFont="1" applyFill="1" applyBorder="1"/>
    <xf numFmtId="0" fontId="0" fillId="2" borderId="6" xfId="0" applyFont="1" applyFill="1" applyBorder="1"/>
    <xf numFmtId="0" fontId="185" fillId="2" borderId="0" xfId="0" applyFont="1" applyFill="1" applyBorder="1" applyAlignment="1"/>
    <xf numFmtId="176" fontId="270" fillId="2" borderId="0" xfId="0" applyNumberFormat="1" applyFont="1" applyFill="1" applyBorder="1" applyAlignment="1"/>
    <xf numFmtId="0" fontId="269" fillId="2" borderId="0" xfId="0" applyFont="1" applyFill="1" applyBorder="1" applyAlignment="1">
      <alignment horizontal="center"/>
    </xf>
    <xf numFmtId="176" fontId="189" fillId="2" borderId="0" xfId="0" applyNumberFormat="1" applyFont="1" applyFill="1" applyBorder="1" applyAlignment="1">
      <alignment horizontal="center"/>
    </xf>
    <xf numFmtId="0" fontId="190" fillId="2" borderId="30" xfId="0" applyFont="1" applyFill="1" applyBorder="1"/>
    <xf numFmtId="0" fontId="0" fillId="2" borderId="28" xfId="0" applyFont="1" applyFill="1" applyBorder="1"/>
    <xf numFmtId="0" fontId="266" fillId="2" borderId="28" xfId="0" applyFont="1" applyFill="1" applyBorder="1"/>
    <xf numFmtId="0" fontId="269" fillId="2" borderId="28" xfId="0" applyFont="1" applyFill="1" applyBorder="1"/>
    <xf numFmtId="0" fontId="0" fillId="2" borderId="31" xfId="0" applyFont="1" applyFill="1" applyBorder="1"/>
    <xf numFmtId="0" fontId="185" fillId="2" borderId="27" xfId="0" applyFont="1" applyFill="1" applyBorder="1"/>
    <xf numFmtId="0" fontId="0" fillId="2" borderId="33" xfId="0" applyFont="1" applyFill="1" applyBorder="1"/>
    <xf numFmtId="0" fontId="0" fillId="9" borderId="28" xfId="0" applyFont="1" applyFill="1" applyBorder="1" applyAlignment="1">
      <alignment horizontal="center"/>
    </xf>
    <xf numFmtId="0" fontId="269" fillId="9" borderId="28" xfId="0" applyFont="1" applyFill="1" applyBorder="1" applyAlignment="1">
      <alignment horizontal="left"/>
    </xf>
    <xf numFmtId="0" fontId="0" fillId="9" borderId="28" xfId="0" applyFont="1" applyFill="1" applyBorder="1" applyAlignment="1"/>
    <xf numFmtId="176" fontId="0" fillId="2" borderId="16" xfId="0" applyNumberFormat="1" applyFont="1" applyFill="1" applyBorder="1" applyAlignment="1">
      <alignment horizontal="center"/>
    </xf>
    <xf numFmtId="0" fontId="0" fillId="2" borderId="28" xfId="0" applyFont="1" applyFill="1" applyBorder="1" applyAlignment="1"/>
    <xf numFmtId="0" fontId="0" fillId="2" borderId="31" xfId="0" applyFont="1" applyFill="1" applyBorder="1" applyAlignment="1"/>
    <xf numFmtId="0" fontId="0" fillId="2" borderId="29" xfId="0" applyFont="1" applyFill="1" applyBorder="1" applyAlignment="1"/>
    <xf numFmtId="0" fontId="0" fillId="2" borderId="34" xfId="0" applyFont="1" applyFill="1" applyBorder="1" applyAlignment="1"/>
    <xf numFmtId="0" fontId="0" fillId="2" borderId="30" xfId="0" applyFont="1" applyFill="1" applyBorder="1" applyAlignment="1"/>
    <xf numFmtId="0" fontId="269" fillId="2" borderId="0" xfId="0" applyFont="1" applyFill="1" applyBorder="1" applyAlignment="1">
      <alignment horizontal="left"/>
    </xf>
    <xf numFmtId="0" fontId="26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151" fillId="2" borderId="0" xfId="0" applyNumberFormat="1" applyFont="1" applyFill="1" applyBorder="1" applyAlignment="1"/>
    <xf numFmtId="176" fontId="0" fillId="2" borderId="0" xfId="0" applyNumberFormat="1" applyFont="1" applyFill="1" applyBorder="1" applyAlignment="1">
      <alignment horizontal="center"/>
    </xf>
    <xf numFmtId="0" fontId="185" fillId="2" borderId="0" xfId="0" applyFont="1" applyFill="1" applyBorder="1" applyAlignment="1">
      <alignment horizontal="left"/>
    </xf>
    <xf numFmtId="44" fontId="0" fillId="2" borderId="0" xfId="3" applyFont="1" applyFill="1" applyBorder="1" applyAlignment="1">
      <alignment vertical="center"/>
    </xf>
    <xf numFmtId="177" fontId="0" fillId="2" borderId="0" xfId="3" applyNumberFormat="1" applyFont="1" applyFill="1" applyBorder="1" applyAlignment="1">
      <alignment vertical="center"/>
    </xf>
    <xf numFmtId="0" fontId="175" fillId="0" borderId="0" xfId="0" applyFont="1"/>
    <xf numFmtId="0" fontId="198" fillId="2" borderId="0" xfId="0" applyFont="1" applyFill="1" applyBorder="1" applyAlignment="1"/>
    <xf numFmtId="176" fontId="274" fillId="2" borderId="0" xfId="0" applyNumberFormat="1" applyFont="1" applyFill="1" applyBorder="1" applyAlignment="1"/>
    <xf numFmtId="0" fontId="175" fillId="2" borderId="0" xfId="0" applyFont="1" applyFill="1" applyBorder="1" applyAlignment="1">
      <alignment horizontal="center" vertical="center"/>
    </xf>
    <xf numFmtId="0" fontId="273" fillId="2" borderId="0" xfId="0" applyFont="1" applyFill="1" applyBorder="1" applyAlignment="1">
      <alignment horizontal="center"/>
    </xf>
    <xf numFmtId="176" fontId="176" fillId="2" borderId="0" xfId="0" applyNumberFormat="1" applyFont="1" applyFill="1" applyBorder="1" applyAlignment="1">
      <alignment horizontal="center"/>
    </xf>
    <xf numFmtId="0" fontId="175" fillId="2" borderId="0" xfId="0" applyFont="1" applyFill="1" applyBorder="1"/>
    <xf numFmtId="0" fontId="175" fillId="9" borderId="28" xfId="0" applyFont="1" applyFill="1" applyBorder="1" applyAlignment="1">
      <alignment horizontal="center"/>
    </xf>
    <xf numFmtId="0" fontId="273" fillId="9" borderId="28" xfId="0" applyFont="1" applyFill="1" applyBorder="1" applyAlignment="1">
      <alignment horizontal="left"/>
    </xf>
    <xf numFmtId="0" fontId="175" fillId="9" borderId="28" xfId="0" applyFont="1" applyFill="1" applyBorder="1" applyAlignment="1"/>
    <xf numFmtId="176" fontId="175" fillId="2" borderId="16" xfId="0" applyNumberFormat="1" applyFont="1" applyFill="1" applyBorder="1" applyAlignment="1">
      <alignment horizontal="center"/>
    </xf>
    <xf numFmtId="0" fontId="273" fillId="2" borderId="0" xfId="0" applyFont="1" applyFill="1" applyBorder="1" applyAlignment="1">
      <alignment horizontal="left"/>
    </xf>
    <xf numFmtId="0" fontId="273" fillId="2" borderId="0" xfId="0" applyFont="1" applyFill="1" applyBorder="1" applyAlignment="1">
      <alignment vertical="center"/>
    </xf>
    <xf numFmtId="176" fontId="209" fillId="2" borderId="0" xfId="0" applyNumberFormat="1" applyFont="1" applyFill="1" applyBorder="1" applyAlignment="1"/>
    <xf numFmtId="176" fontId="175" fillId="2" borderId="0" xfId="0" applyNumberFormat="1" applyFont="1" applyFill="1" applyBorder="1" applyAlignment="1">
      <alignment horizontal="center"/>
    </xf>
    <xf numFmtId="0" fontId="198" fillId="2" borderId="0" xfId="0" applyFont="1" applyFill="1" applyBorder="1" applyAlignment="1">
      <alignment horizontal="left"/>
    </xf>
    <xf numFmtId="44" fontId="175" fillId="2" borderId="0" xfId="3" applyFont="1" applyFill="1" applyBorder="1" applyAlignment="1">
      <alignment vertical="center"/>
    </xf>
    <xf numFmtId="177" fontId="175" fillId="2" borderId="0" xfId="3" applyNumberFormat="1" applyFont="1" applyFill="1" applyBorder="1" applyAlignment="1">
      <alignment vertical="center"/>
    </xf>
    <xf numFmtId="0" fontId="165" fillId="17" borderId="0" xfId="0" applyFont="1" applyFill="1" applyAlignment="1"/>
    <xf numFmtId="0" fontId="16" fillId="2" borderId="0" xfId="0" applyFont="1" applyFill="1" applyBorder="1"/>
    <xf numFmtId="0" fontId="166" fillId="19" borderId="0" xfId="0" applyFont="1" applyFill="1"/>
    <xf numFmtId="0" fontId="175" fillId="19" borderId="0" xfId="0" applyFont="1" applyFill="1"/>
    <xf numFmtId="0" fontId="209" fillId="19" borderId="0" xfId="0" applyFont="1" applyFill="1" applyAlignment="1">
      <alignment horizontal="right"/>
    </xf>
    <xf numFmtId="0" fontId="175" fillId="20" borderId="30" xfId="0" applyFont="1" applyFill="1" applyBorder="1"/>
    <xf numFmtId="0" fontId="206" fillId="20" borderId="2" xfId="0" applyFont="1" applyFill="1" applyBorder="1" applyAlignment="1"/>
    <xf numFmtId="0" fontId="206" fillId="20" borderId="8" xfId="0" applyFont="1" applyFill="1" applyBorder="1" applyAlignment="1"/>
    <xf numFmtId="0" fontId="175" fillId="20" borderId="14" xfId="0" applyFont="1" applyFill="1" applyBorder="1"/>
    <xf numFmtId="0" fontId="272" fillId="20" borderId="6" xfId="0" applyFont="1" applyFill="1" applyBorder="1"/>
    <xf numFmtId="0" fontId="175" fillId="20" borderId="6" xfId="0" applyFont="1" applyFill="1" applyBorder="1"/>
    <xf numFmtId="0" fontId="175" fillId="20" borderId="1" xfId="0" applyFont="1" applyFill="1" applyBorder="1"/>
    <xf numFmtId="0" fontId="198" fillId="20" borderId="8" xfId="0" applyFont="1" applyFill="1" applyBorder="1"/>
    <xf numFmtId="0" fontId="175" fillId="20" borderId="8" xfId="0" applyFont="1" applyFill="1" applyBorder="1"/>
    <xf numFmtId="0" fontId="271" fillId="20" borderId="8" xfId="0" applyFont="1" applyFill="1" applyBorder="1"/>
    <xf numFmtId="0" fontId="273" fillId="20" borderId="8" xfId="0" applyFont="1" applyFill="1" applyBorder="1"/>
    <xf numFmtId="0" fontId="175" fillId="20" borderId="3" xfId="0" applyFont="1" applyFill="1" applyBorder="1"/>
    <xf numFmtId="0" fontId="198" fillId="20" borderId="44" xfId="0" applyFont="1" applyFill="1" applyBorder="1"/>
    <xf numFmtId="0" fontId="175" fillId="20" borderId="18" xfId="0" applyFont="1" applyFill="1" applyBorder="1"/>
    <xf numFmtId="0" fontId="175" fillId="2" borderId="2" xfId="0" applyFont="1" applyFill="1" applyBorder="1" applyAlignment="1"/>
    <xf numFmtId="0" fontId="175" fillId="2" borderId="8" xfId="0" applyFont="1" applyFill="1" applyBorder="1" applyAlignment="1"/>
    <xf numFmtId="0" fontId="175" fillId="2" borderId="8" xfId="0" applyFont="1" applyFill="1" applyBorder="1"/>
    <xf numFmtId="0" fontId="198" fillId="2" borderId="8" xfId="0" applyFont="1" applyFill="1" applyBorder="1" applyAlignment="1"/>
    <xf numFmtId="0" fontId="175" fillId="2" borderId="3" xfId="0" applyFont="1" applyFill="1" applyBorder="1"/>
    <xf numFmtId="0" fontId="176" fillId="2" borderId="11" xfId="0" applyFont="1" applyFill="1" applyBorder="1"/>
    <xf numFmtId="9" fontId="198" fillId="2" borderId="12" xfId="1" applyFont="1" applyFill="1" applyBorder="1" applyAlignment="1">
      <alignment horizontal="center"/>
    </xf>
    <xf numFmtId="179" fontId="176" fillId="2" borderId="12" xfId="0" applyNumberFormat="1" applyFont="1" applyFill="1" applyBorder="1" applyAlignment="1">
      <alignment horizontal="center"/>
    </xf>
    <xf numFmtId="180" fontId="276" fillId="2" borderId="12" xfId="0" applyNumberFormat="1" applyFont="1" applyFill="1" applyBorder="1" applyAlignment="1">
      <alignment horizontal="right"/>
    </xf>
    <xf numFmtId="179" fontId="176" fillId="2" borderId="12" xfId="0" applyNumberFormat="1" applyFont="1" applyFill="1" applyBorder="1" applyAlignment="1"/>
    <xf numFmtId="0" fontId="175" fillId="2" borderId="12" xfId="0" applyFont="1" applyFill="1" applyBorder="1"/>
    <xf numFmtId="0" fontId="175" fillId="2" borderId="45" xfId="0" applyFont="1" applyFill="1" applyBorder="1"/>
    <xf numFmtId="0" fontId="175" fillId="2" borderId="17" xfId="0" applyFont="1" applyFill="1" applyBorder="1"/>
    <xf numFmtId="0" fontId="175" fillId="2" borderId="0" xfId="0" applyFont="1" applyFill="1" applyBorder="1" applyAlignment="1">
      <alignment horizontal="left"/>
    </xf>
    <xf numFmtId="0" fontId="196" fillId="9" borderId="35" xfId="0" applyFont="1" applyFill="1" applyBorder="1" applyAlignment="1">
      <alignment horizontal="center"/>
    </xf>
    <xf numFmtId="0" fontId="196" fillId="9" borderId="36" xfId="0" applyFont="1" applyFill="1" applyBorder="1" applyAlignment="1">
      <alignment horizontal="center"/>
    </xf>
    <xf numFmtId="0" fontId="175" fillId="9" borderId="36" xfId="0" applyFont="1" applyFill="1" applyBorder="1" applyAlignment="1">
      <alignment vertical="center"/>
    </xf>
    <xf numFmtId="0" fontId="175" fillId="9" borderId="10" xfId="0" applyFont="1" applyFill="1" applyBorder="1"/>
    <xf numFmtId="0" fontId="200" fillId="9" borderId="11" xfId="0" applyFont="1" applyFill="1" applyBorder="1" applyAlignment="1">
      <alignment horizontal="center"/>
    </xf>
    <xf numFmtId="0" fontId="196" fillId="9" borderId="12" xfId="0" applyFont="1" applyFill="1" applyBorder="1" applyAlignment="1">
      <alignment horizontal="center"/>
    </xf>
    <xf numFmtId="0" fontId="277" fillId="9" borderId="12" xfId="0" applyFont="1" applyFill="1" applyBorder="1" applyAlignment="1">
      <alignment horizontal="center"/>
    </xf>
    <xf numFmtId="0" fontId="175" fillId="9" borderId="12" xfId="0" applyFont="1" applyFill="1" applyBorder="1"/>
    <xf numFmtId="0" fontId="166" fillId="17" borderId="0" xfId="0" applyFont="1" applyFill="1"/>
    <xf numFmtId="0" fontId="16" fillId="17" borderId="0" xfId="0" applyFont="1" applyFill="1" applyAlignment="1"/>
    <xf numFmtId="0" fontId="197" fillId="2" borderId="0" xfId="0" applyFont="1" applyFill="1" applyBorder="1"/>
    <xf numFmtId="0" fontId="175" fillId="2" borderId="0" xfId="0" applyFont="1" applyFill="1" applyBorder="1" applyAlignment="1">
      <alignment horizontal="left" vertical="center"/>
    </xf>
    <xf numFmtId="0" fontId="196" fillId="2" borderId="12" xfId="0" applyFont="1" applyFill="1" applyBorder="1" applyAlignment="1"/>
    <xf numFmtId="0" fontId="175" fillId="9" borderId="35" xfId="0" applyFont="1" applyFill="1" applyBorder="1" applyAlignment="1">
      <alignment horizontal="center"/>
    </xf>
    <xf numFmtId="0" fontId="200" fillId="9" borderId="36" xfId="0" applyFont="1" applyFill="1" applyBorder="1" applyAlignment="1">
      <alignment horizontal="center" vertical="center"/>
    </xf>
    <xf numFmtId="0" fontId="200" fillId="9" borderId="12" xfId="0" applyFont="1" applyFill="1" applyBorder="1" applyAlignment="1">
      <alignment horizontal="center"/>
    </xf>
    <xf numFmtId="181" fontId="200" fillId="9" borderId="12" xfId="0" applyNumberFormat="1" applyFont="1" applyFill="1" applyBorder="1"/>
    <xf numFmtId="0" fontId="196" fillId="9" borderId="36" xfId="0" applyFont="1" applyFill="1" applyBorder="1" applyAlignment="1">
      <alignment horizontal="center" vertical="center"/>
    </xf>
    <xf numFmtId="0" fontId="196" fillId="9" borderId="11" xfId="0" applyFont="1" applyFill="1" applyBorder="1" applyAlignment="1">
      <alignment horizontal="center"/>
    </xf>
    <xf numFmtId="182" fontId="196" fillId="9" borderId="12" xfId="0" applyNumberFormat="1" applyFont="1" applyFill="1" applyBorder="1"/>
    <xf numFmtId="0" fontId="0" fillId="18" borderId="0" xfId="0" applyFont="1" applyFill="1"/>
    <xf numFmtId="176" fontId="0" fillId="18" borderId="0" xfId="0" applyNumberFormat="1" applyFont="1" applyFill="1" applyAlignment="1">
      <alignment horizontal="left"/>
    </xf>
    <xf numFmtId="0" fontId="229" fillId="2" borderId="4" xfId="0" applyFont="1" applyFill="1" applyBorder="1"/>
    <xf numFmtId="0" fontId="198" fillId="2" borderId="0" xfId="0" applyFont="1" applyFill="1" applyAlignment="1">
      <alignment horizontal="center" vertical="top"/>
    </xf>
    <xf numFmtId="0" fontId="225" fillId="19" borderId="0" xfId="0" applyFont="1" applyFill="1" applyAlignment="1">
      <alignment vertical="center"/>
    </xf>
    <xf numFmtId="0" fontId="152" fillId="2" borderId="0" xfId="0" applyFont="1" applyFill="1" applyAlignment="1">
      <alignment vertical="center"/>
    </xf>
    <xf numFmtId="0" fontId="225" fillId="2" borderId="0" xfId="0" applyFont="1" applyFill="1" applyAlignment="1">
      <alignment vertical="center"/>
    </xf>
    <xf numFmtId="0" fontId="279" fillId="2" borderId="0" xfId="0" applyFont="1" applyFill="1" applyBorder="1" applyAlignment="1"/>
    <xf numFmtId="0" fontId="280" fillId="2" borderId="0" xfId="0" applyFont="1" applyFill="1" applyBorder="1" applyAlignment="1"/>
    <xf numFmtId="0" fontId="228" fillId="2" borderId="0" xfId="0" applyFont="1" applyFill="1" applyBorder="1" applyAlignment="1">
      <alignment horizontal="center"/>
    </xf>
    <xf numFmtId="0" fontId="232" fillId="2" borderId="0" xfId="0" applyFont="1" applyFill="1" applyBorder="1" applyAlignment="1">
      <alignment vertical="top"/>
    </xf>
    <xf numFmtId="0" fontId="232" fillId="2" borderId="0" xfId="0" applyFont="1" applyFill="1" applyBorder="1" applyAlignment="1">
      <alignment horizontal="center"/>
    </xf>
    <xf numFmtId="0" fontId="280" fillId="2" borderId="0" xfId="0" applyFont="1" applyFill="1" applyBorder="1" applyAlignment="1">
      <alignment horizontal="center"/>
    </xf>
    <xf numFmtId="0" fontId="152" fillId="2" borderId="0" xfId="0" applyFont="1" applyFill="1" applyBorder="1" applyAlignment="1">
      <alignment vertical="top"/>
    </xf>
    <xf numFmtId="0" fontId="233" fillId="2" borderId="0" xfId="0" applyFont="1" applyFill="1" applyBorder="1" applyAlignment="1">
      <alignment horizontal="center"/>
    </xf>
    <xf numFmtId="0" fontId="228" fillId="2" borderId="0" xfId="0" applyFont="1" applyFill="1" applyBorder="1" applyAlignment="1"/>
    <xf numFmtId="0" fontId="152" fillId="2" borderId="0" xfId="0" applyFont="1" applyFill="1" applyBorder="1" applyAlignment="1">
      <alignment horizontal="right" vertical="center"/>
    </xf>
    <xf numFmtId="0" fontId="152" fillId="18" borderId="1" xfId="0" applyFont="1" applyFill="1" applyBorder="1" applyAlignment="1"/>
    <xf numFmtId="0" fontId="152" fillId="2" borderId="0" xfId="0" applyFont="1" applyFill="1" applyBorder="1" applyAlignment="1">
      <alignment horizontal="right"/>
    </xf>
    <xf numFmtId="0" fontId="233" fillId="2" borderId="0" xfId="0" applyFont="1" applyFill="1" applyBorder="1" applyAlignment="1">
      <alignment horizontal="left"/>
    </xf>
    <xf numFmtId="0" fontId="233" fillId="2" borderId="0" xfId="0" applyFont="1" applyFill="1" applyBorder="1" applyAlignment="1"/>
    <xf numFmtId="0" fontId="281" fillId="2" borderId="0" xfId="0" applyFont="1" applyFill="1" applyBorder="1" applyAlignment="1"/>
    <xf numFmtId="0" fontId="152" fillId="2" borderId="0" xfId="0" quotePrefix="1" applyFont="1" applyFill="1" applyBorder="1" applyAlignment="1">
      <alignment vertical="center"/>
    </xf>
    <xf numFmtId="0" fontId="230" fillId="2" borderId="0" xfId="0" applyFont="1" applyFill="1" applyBorder="1" applyAlignment="1">
      <alignment vertical="center"/>
    </xf>
    <xf numFmtId="0" fontId="282" fillId="2" borderId="0" xfId="0" applyFont="1" applyFill="1" applyBorder="1" applyAlignment="1">
      <alignment vertical="center"/>
    </xf>
    <xf numFmtId="0" fontId="233" fillId="2" borderId="0" xfId="0" quotePrefix="1" applyFont="1" applyFill="1" applyBorder="1" applyAlignment="1">
      <alignment vertical="center"/>
    </xf>
    <xf numFmtId="0" fontId="233" fillId="2" borderId="0" xfId="0" applyFont="1" applyFill="1" applyBorder="1" applyAlignment="1">
      <alignment vertical="center"/>
    </xf>
    <xf numFmtId="0" fontId="152" fillId="9" borderId="0" xfId="0" applyFont="1" applyFill="1" applyBorder="1" applyAlignment="1"/>
    <xf numFmtId="0" fontId="282" fillId="9" borderId="0" xfId="0" applyFont="1" applyFill="1" applyBorder="1" applyAlignment="1">
      <alignment vertical="center"/>
    </xf>
    <xf numFmtId="0" fontId="228" fillId="9" borderId="0" xfId="0" applyFont="1" applyFill="1" applyBorder="1" applyAlignment="1">
      <alignment vertical="center"/>
    </xf>
    <xf numFmtId="0" fontId="152" fillId="9" borderId="0" xfId="0" applyFont="1" applyFill="1" applyBorder="1" applyAlignment="1">
      <alignment vertical="center"/>
    </xf>
    <xf numFmtId="0" fontId="284" fillId="25" borderId="0" xfId="0" applyFont="1" applyFill="1" applyAlignment="1">
      <alignment vertical="center"/>
    </xf>
    <xf numFmtId="0" fontId="284" fillId="2" borderId="0" xfId="0" applyFont="1" applyFill="1" applyAlignment="1">
      <alignment vertical="center"/>
    </xf>
    <xf numFmtId="0" fontId="152" fillId="18" borderId="0" xfId="0" applyFont="1" applyFill="1" applyBorder="1" applyAlignment="1"/>
    <xf numFmtId="0" fontId="152" fillId="2" borderId="0" xfId="0" applyFont="1" applyFill="1" applyBorder="1" applyAlignment="1">
      <alignment horizontal="left"/>
    </xf>
    <xf numFmtId="0" fontId="283" fillId="9" borderId="0" xfId="0" applyFont="1" applyFill="1" applyBorder="1" applyAlignment="1">
      <alignment horizontal="left"/>
    </xf>
    <xf numFmtId="0" fontId="0" fillId="9" borderId="34" xfId="0" applyFont="1" applyFill="1" applyBorder="1"/>
    <xf numFmtId="0" fontId="223" fillId="2" borderId="46" xfId="0" applyFont="1" applyFill="1" applyBorder="1"/>
    <xf numFmtId="0" fontId="0" fillId="2" borderId="18" xfId="0" applyFont="1" applyFill="1" applyBorder="1"/>
    <xf numFmtId="0" fontId="0" fillId="18" borderId="46" xfId="0" applyFont="1" applyFill="1" applyBorder="1"/>
    <xf numFmtId="0" fontId="0" fillId="21" borderId="6" xfId="0" applyFont="1" applyFill="1" applyBorder="1" applyAlignment="1"/>
    <xf numFmtId="0" fontId="0" fillId="20" borderId="6" xfId="0" applyFont="1" applyFill="1" applyBorder="1" applyAlignment="1"/>
    <xf numFmtId="0" fontId="285" fillId="19" borderId="0" xfId="0" applyFont="1" applyFill="1"/>
    <xf numFmtId="0" fontId="2" fillId="19" borderId="0" xfId="0" applyFont="1" applyFill="1"/>
    <xf numFmtId="0" fontId="286" fillId="19" borderId="0" xfId="0" applyFont="1" applyFill="1"/>
    <xf numFmtId="0" fontId="0" fillId="2" borderId="0" xfId="0" applyFont="1" applyFill="1" applyAlignment="1">
      <alignment horizontal="center"/>
    </xf>
    <xf numFmtId="0" fontId="269" fillId="2" borderId="0" xfId="0" applyFont="1" applyFill="1" applyBorder="1" applyAlignment="1">
      <alignment horizontal="center"/>
    </xf>
    <xf numFmtId="179" fontId="189" fillId="2" borderId="28" xfId="0" applyNumberFormat="1" applyFont="1" applyFill="1" applyBorder="1" applyAlignment="1">
      <alignment horizontal="center"/>
    </xf>
    <xf numFmtId="0" fontId="189" fillId="2" borderId="2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" fillId="19" borderId="0" xfId="0" applyFont="1" applyFill="1"/>
    <xf numFmtId="0" fontId="287" fillId="19" borderId="0" xfId="0" applyFont="1" applyFill="1" applyAlignment="1"/>
    <xf numFmtId="0" fontId="288" fillId="19" borderId="0" xfId="0" applyFont="1" applyFill="1" applyAlignment="1"/>
    <xf numFmtId="0" fontId="288" fillId="2" borderId="0" xfId="0" applyFont="1" applyFill="1" applyAlignment="1"/>
    <xf numFmtId="0" fontId="1" fillId="2" borderId="0" xfId="0" applyFont="1" applyFill="1"/>
    <xf numFmtId="0" fontId="1" fillId="2" borderId="0" xfId="0" applyFont="1" applyFill="1" applyBorder="1"/>
    <xf numFmtId="0" fontId="1" fillId="18" borderId="1" xfId="0" applyFont="1" applyFill="1" applyBorder="1"/>
    <xf numFmtId="0" fontId="1" fillId="21" borderId="0" xfId="0" applyFont="1" applyFill="1" applyAlignment="1"/>
    <xf numFmtId="0" fontId="1" fillId="21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1" fillId="20" borderId="0" xfId="0" applyFont="1" applyFill="1"/>
    <xf numFmtId="0" fontId="1" fillId="20" borderId="0" xfId="0" applyFont="1" applyFill="1" applyAlignment="1"/>
    <xf numFmtId="0" fontId="1" fillId="9" borderId="4" xfId="0" applyFont="1" applyFill="1" applyBorder="1"/>
    <xf numFmtId="0" fontId="1" fillId="9" borderId="16" xfId="0" applyFont="1" applyFill="1" applyBorder="1"/>
    <xf numFmtId="0" fontId="1" fillId="9" borderId="5" xfId="0" applyFont="1" applyFill="1" applyBorder="1"/>
    <xf numFmtId="0" fontId="280" fillId="0" borderId="0" xfId="0" applyFont="1"/>
    <xf numFmtId="0" fontId="226" fillId="2" borderId="0" xfId="0" applyFont="1" applyFill="1" applyAlignment="1"/>
    <xf numFmtId="0" fontId="225" fillId="2" borderId="0" xfId="0" applyFont="1" applyFill="1" applyAlignment="1"/>
    <xf numFmtId="0" fontId="152" fillId="2" borderId="0" xfId="0" applyFont="1" applyFill="1" applyAlignment="1">
      <alignment horizontal="left"/>
    </xf>
    <xf numFmtId="0" fontId="0" fillId="26" borderId="30" xfId="0" applyFont="1" applyFill="1" applyBorder="1"/>
    <xf numFmtId="0" fontId="289" fillId="26" borderId="2" xfId="0" applyFont="1" applyFill="1" applyBorder="1" applyAlignment="1"/>
    <xf numFmtId="0" fontId="267" fillId="26" borderId="8" xfId="0" applyFont="1" applyFill="1" applyBorder="1" applyAlignment="1"/>
    <xf numFmtId="0" fontId="0" fillId="26" borderId="14" xfId="0" applyFont="1" applyFill="1" applyBorder="1"/>
    <xf numFmtId="0" fontId="268" fillId="26" borderId="6" xfId="0" applyFont="1" applyFill="1" applyBorder="1"/>
    <xf numFmtId="0" fontId="0" fillId="26" borderId="6" xfId="0" applyFont="1" applyFill="1" applyBorder="1"/>
    <xf numFmtId="0" fontId="0" fillId="26" borderId="4" xfId="0" applyFont="1" applyFill="1" applyBorder="1" applyAlignment="1">
      <alignment horizontal="center"/>
    </xf>
    <xf numFmtId="0" fontId="185" fillId="26" borderId="27" xfId="0" applyFont="1" applyFill="1" applyBorder="1"/>
    <xf numFmtId="0" fontId="0" fillId="26" borderId="33" xfId="0" applyFont="1" applyFill="1" applyBorder="1"/>
    <xf numFmtId="0" fontId="289" fillId="9" borderId="28" xfId="0" applyFont="1" applyFill="1" applyBorder="1" applyAlignment="1">
      <alignment horizontal="left"/>
    </xf>
    <xf numFmtId="0" fontId="0" fillId="2" borderId="16" xfId="0" applyFont="1" applyFill="1" applyBorder="1" applyAlignment="1"/>
    <xf numFmtId="0" fontId="0" fillId="2" borderId="5" xfId="0" applyFont="1" applyFill="1" applyBorder="1" applyAlignment="1"/>
    <xf numFmtId="0" fontId="0" fillId="2" borderId="0" xfId="0" applyFont="1" applyFill="1" applyAlignment="1">
      <alignment horizontal="center"/>
    </xf>
    <xf numFmtId="0" fontId="0" fillId="20" borderId="0" xfId="0" applyFill="1" applyAlignment="1">
      <alignment horizontal="left"/>
    </xf>
    <xf numFmtId="0" fontId="0" fillId="20" borderId="2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223" fillId="2" borderId="0" xfId="0" applyFont="1" applyFill="1" applyAlignment="1">
      <alignment horizontal="center"/>
    </xf>
    <xf numFmtId="0" fontId="223" fillId="20" borderId="0" xfId="0" applyFont="1" applyFill="1" applyAlignment="1">
      <alignment horizontal="center"/>
    </xf>
    <xf numFmtId="167" fontId="0" fillId="9" borderId="16" xfId="0" applyNumberFormat="1" applyFont="1" applyFill="1" applyBorder="1" applyAlignment="1">
      <alignment horizontal="center"/>
    </xf>
    <xf numFmtId="0" fontId="136" fillId="22" borderId="0" xfId="0" applyFont="1" applyFill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0" fillId="2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189" fillId="2" borderId="4" xfId="0" applyFont="1" applyFill="1" applyBorder="1" applyAlignment="1">
      <alignment horizontal="center"/>
    </xf>
    <xf numFmtId="0" fontId="189" fillId="2" borderId="5" xfId="0" applyFont="1" applyFill="1" applyBorder="1" applyAlignment="1">
      <alignment horizontal="center"/>
    </xf>
    <xf numFmtId="0" fontId="223" fillId="2" borderId="0" xfId="0" applyFont="1" applyFill="1" applyAlignment="1">
      <alignment horizontal="left"/>
    </xf>
    <xf numFmtId="0" fontId="189" fillId="22" borderId="0" xfId="0" applyFont="1" applyFill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9" fillId="22" borderId="0" xfId="0" applyFont="1" applyFill="1" applyAlignment="1">
      <alignment horizontal="center" vertical="center"/>
    </xf>
    <xf numFmtId="0" fontId="14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67" fontId="16" fillId="2" borderId="0" xfId="0" applyNumberFormat="1" applyFont="1" applyFill="1" applyBorder="1" applyAlignment="1">
      <alignment horizontal="center"/>
    </xf>
    <xf numFmtId="0" fontId="189" fillId="2" borderId="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17" borderId="0" xfId="0" applyFont="1" applyFill="1" applyAlignment="1"/>
    <xf numFmtId="0" fontId="0" fillId="2" borderId="0" xfId="0" applyFont="1" applyFill="1" applyAlignment="1">
      <alignment horizontal="center" vertical="center"/>
    </xf>
    <xf numFmtId="0" fontId="139" fillId="4" borderId="0" xfId="0" applyFont="1" applyFill="1" applyAlignment="1"/>
    <xf numFmtId="0" fontId="139" fillId="22" borderId="0" xfId="0" applyFont="1" applyFill="1" applyAlignment="1"/>
    <xf numFmtId="0" fontId="224" fillId="17" borderId="0" xfId="0" applyFont="1" applyFill="1" applyAlignment="1"/>
    <xf numFmtId="0" fontId="224" fillId="24" borderId="0" xfId="0" applyFont="1" applyFill="1" applyAlignment="1">
      <alignment horizontal="center"/>
    </xf>
    <xf numFmtId="0" fontId="153" fillId="2" borderId="0" xfId="0" applyFont="1" applyFill="1" applyAlignment="1">
      <alignment horizontal="center" vertical="center"/>
    </xf>
    <xf numFmtId="0" fontId="153" fillId="2" borderId="0" xfId="0" applyFont="1" applyFill="1" applyAlignment="1">
      <alignment horizontal="left" vertical="center"/>
    </xf>
    <xf numFmtId="0" fontId="153" fillId="9" borderId="0" xfId="0" applyFont="1" applyFill="1" applyAlignment="1">
      <alignment horizontal="center"/>
    </xf>
    <xf numFmtId="0" fontId="152" fillId="3" borderId="0" xfId="0" applyFont="1" applyFill="1" applyBorder="1" applyAlignment="1">
      <alignment horizontal="left"/>
    </xf>
    <xf numFmtId="0" fontId="185" fillId="2" borderId="4" xfId="0" applyFont="1" applyFill="1" applyBorder="1" applyAlignment="1">
      <alignment horizontal="center"/>
    </xf>
    <xf numFmtId="0" fontId="185" fillId="2" borderId="16" xfId="0" applyFont="1" applyFill="1" applyBorder="1" applyAlignment="1">
      <alignment horizontal="center"/>
    </xf>
    <xf numFmtId="0" fontId="185" fillId="2" borderId="41" xfId="0" applyFont="1" applyFill="1" applyBorder="1" applyAlignment="1">
      <alignment horizontal="center"/>
    </xf>
    <xf numFmtId="0" fontId="185" fillId="2" borderId="35" xfId="0" applyFont="1" applyFill="1" applyBorder="1" applyAlignment="1">
      <alignment horizontal="center"/>
    </xf>
    <xf numFmtId="0" fontId="185" fillId="2" borderId="36" xfId="0" applyFont="1" applyFill="1" applyBorder="1" applyAlignment="1">
      <alignment horizontal="center"/>
    </xf>
    <xf numFmtId="0" fontId="185" fillId="2" borderId="37" xfId="0" applyFont="1" applyFill="1" applyBorder="1" applyAlignment="1">
      <alignment horizontal="center"/>
    </xf>
    <xf numFmtId="179" fontId="0" fillId="2" borderId="28" xfId="3" applyNumberFormat="1" applyFont="1" applyFill="1" applyBorder="1" applyAlignment="1">
      <alignment horizontal="left" vertical="center"/>
    </xf>
    <xf numFmtId="179" fontId="0" fillId="2" borderId="29" xfId="3" applyNumberFormat="1" applyFont="1" applyFill="1" applyBorder="1" applyAlignment="1">
      <alignment horizontal="left" vertical="center"/>
    </xf>
    <xf numFmtId="0" fontId="190" fillId="2" borderId="4" xfId="0" applyFont="1" applyFill="1" applyBorder="1" applyAlignment="1">
      <alignment horizontal="center"/>
    </xf>
    <xf numFmtId="0" fontId="190" fillId="2" borderId="16" xfId="0" applyFont="1" applyFill="1" applyBorder="1" applyAlignment="1">
      <alignment horizontal="center"/>
    </xf>
    <xf numFmtId="0" fontId="190" fillId="2" borderId="41" xfId="0" applyFont="1" applyFill="1" applyBorder="1" applyAlignment="1">
      <alignment horizontal="center"/>
    </xf>
    <xf numFmtId="0" fontId="269" fillId="2" borderId="0" xfId="0" applyFont="1" applyFill="1" applyBorder="1" applyAlignment="1">
      <alignment horizontal="center"/>
    </xf>
    <xf numFmtId="0" fontId="185" fillId="2" borderId="29" xfId="0" applyFont="1" applyFill="1" applyBorder="1" applyAlignment="1">
      <alignment horizontal="center"/>
    </xf>
    <xf numFmtId="0" fontId="185" fillId="9" borderId="4" xfId="0" applyFont="1" applyFill="1" applyBorder="1" applyAlignment="1">
      <alignment horizontal="center"/>
    </xf>
    <xf numFmtId="0" fontId="185" fillId="9" borderId="5" xfId="0" applyFont="1" applyFill="1" applyBorder="1" applyAlignment="1">
      <alignment horizontal="center"/>
    </xf>
    <xf numFmtId="0" fontId="269" fillId="2" borderId="30" xfId="0" applyFont="1" applyFill="1" applyBorder="1" applyAlignment="1">
      <alignment horizontal="center" vertical="center"/>
    </xf>
    <xf numFmtId="0" fontId="269" fillId="2" borderId="33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176" fontId="190" fillId="2" borderId="16" xfId="0" applyNumberFormat="1" applyFont="1" applyFill="1" applyBorder="1" applyAlignment="1">
      <alignment horizontal="center"/>
    </xf>
    <xf numFmtId="0" fontId="0" fillId="2" borderId="27" xfId="0" quotePrefix="1" applyFont="1" applyFill="1" applyBorder="1" applyAlignment="1">
      <alignment horizontal="center" vertical="center"/>
    </xf>
    <xf numFmtId="180" fontId="190" fillId="2" borderId="4" xfId="0" applyNumberFormat="1" applyFont="1" applyFill="1" applyBorder="1" applyAlignment="1">
      <alignment horizontal="center"/>
    </xf>
    <xf numFmtId="180" fontId="190" fillId="2" borderId="16" xfId="0" applyNumberFormat="1" applyFont="1" applyFill="1" applyBorder="1" applyAlignment="1">
      <alignment horizontal="center"/>
    </xf>
    <xf numFmtId="0" fontId="269" fillId="2" borderId="16" xfId="0" applyFont="1" applyFill="1" applyBorder="1" applyAlignment="1">
      <alignment horizontal="center"/>
    </xf>
    <xf numFmtId="0" fontId="269" fillId="2" borderId="5" xfId="0" applyFont="1" applyFill="1" applyBorder="1" applyAlignment="1">
      <alignment horizontal="center"/>
    </xf>
    <xf numFmtId="179" fontId="189" fillId="2" borderId="28" xfId="0" applyNumberFormat="1" applyFont="1" applyFill="1" applyBorder="1" applyAlignment="1">
      <alignment horizontal="center"/>
    </xf>
    <xf numFmtId="0" fontId="189" fillId="2" borderId="28" xfId="0" applyFont="1" applyFill="1" applyBorder="1" applyAlignment="1">
      <alignment horizontal="center"/>
    </xf>
    <xf numFmtId="179" fontId="0" fillId="2" borderId="28" xfId="0" applyNumberFormat="1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79" fontId="0" fillId="2" borderId="30" xfId="0" applyNumberFormat="1" applyFont="1" applyFill="1" applyBorder="1" applyAlignment="1">
      <alignment horizontal="left"/>
    </xf>
    <xf numFmtId="179" fontId="0" fillId="2" borderId="28" xfId="0" applyNumberFormat="1" applyFont="1" applyFill="1" applyBorder="1" applyAlignment="1">
      <alignment horizontal="left"/>
    </xf>
    <xf numFmtId="179" fontId="0" fillId="2" borderId="31" xfId="0" applyNumberFormat="1" applyFont="1" applyFill="1" applyBorder="1" applyAlignment="1">
      <alignment horizontal="left"/>
    </xf>
    <xf numFmtId="44" fontId="0" fillId="2" borderId="28" xfId="3" applyFont="1" applyFill="1" applyBorder="1" applyAlignment="1">
      <alignment horizontal="center" vertical="center"/>
    </xf>
    <xf numFmtId="44" fontId="0" fillId="2" borderId="29" xfId="3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66" fillId="2" borderId="4" xfId="0" applyFont="1" applyFill="1" applyBorder="1" applyAlignment="1">
      <alignment horizontal="center"/>
    </xf>
    <xf numFmtId="0" fontId="266" fillId="2" borderId="5" xfId="0" applyFont="1" applyFill="1" applyBorder="1" applyAlignment="1">
      <alignment horizontal="center"/>
    </xf>
    <xf numFmtId="0" fontId="269" fillId="9" borderId="4" xfId="0" applyFont="1" applyFill="1" applyBorder="1" applyAlignment="1">
      <alignment horizontal="center"/>
    </xf>
    <xf numFmtId="0" fontId="269" fillId="9" borderId="16" xfId="0" applyFont="1" applyFill="1" applyBorder="1" applyAlignment="1">
      <alignment horizontal="center"/>
    </xf>
    <xf numFmtId="0" fontId="269" fillId="9" borderId="41" xfId="0" applyFont="1" applyFill="1" applyBorder="1" applyAlignment="1">
      <alignment horizontal="center"/>
    </xf>
    <xf numFmtId="176" fontId="189" fillId="2" borderId="23" xfId="0" applyNumberFormat="1" applyFont="1" applyFill="1" applyBorder="1" applyAlignment="1">
      <alignment horizontal="center"/>
    </xf>
    <xf numFmtId="176" fontId="189" fillId="2" borderId="39" xfId="0" applyNumberFormat="1" applyFont="1" applyFill="1" applyBorder="1" applyAlignment="1">
      <alignment horizontal="center"/>
    </xf>
    <xf numFmtId="176" fontId="189" fillId="2" borderId="40" xfId="0" applyNumberFormat="1" applyFont="1" applyFill="1" applyBorder="1" applyAlignment="1">
      <alignment horizontal="center"/>
    </xf>
    <xf numFmtId="0" fontId="185" fillId="9" borderId="16" xfId="0" applyFont="1" applyFill="1" applyBorder="1" applyAlignment="1">
      <alignment horizontal="center"/>
    </xf>
    <xf numFmtId="176" fontId="270" fillId="9" borderId="16" xfId="0" applyNumberFormat="1" applyFont="1" applyFill="1" applyBorder="1" applyAlignment="1">
      <alignment horizontal="center"/>
    </xf>
    <xf numFmtId="0" fontId="185" fillId="9" borderId="16" xfId="0" applyFont="1" applyFill="1" applyBorder="1" applyAlignment="1">
      <alignment horizontal="left"/>
    </xf>
    <xf numFmtId="0" fontId="185" fillId="9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176" fontId="266" fillId="2" borderId="0" xfId="0" applyNumberFormat="1" applyFont="1" applyFill="1" applyBorder="1" applyAlignment="1">
      <alignment horizontal="center"/>
    </xf>
    <xf numFmtId="0" fontId="185" fillId="2" borderId="33" xfId="0" applyFont="1" applyFill="1" applyBorder="1" applyAlignment="1">
      <alignment horizontal="center"/>
    </xf>
    <xf numFmtId="0" fontId="185" fillId="2" borderId="34" xfId="0" applyFont="1" applyFill="1" applyBorder="1" applyAlignment="1">
      <alignment horizontal="center"/>
    </xf>
    <xf numFmtId="0" fontId="172" fillId="9" borderId="4" xfId="0" applyFont="1" applyFill="1" applyBorder="1" applyAlignment="1">
      <alignment horizontal="center"/>
    </xf>
    <xf numFmtId="0" fontId="172" fillId="9" borderId="16" xfId="0" applyFont="1" applyFill="1" applyBorder="1" applyAlignment="1">
      <alignment horizontal="center"/>
    </xf>
    <xf numFmtId="176" fontId="164" fillId="9" borderId="16" xfId="0" applyNumberFormat="1" applyFont="1" applyFill="1" applyBorder="1" applyAlignment="1">
      <alignment horizontal="center"/>
    </xf>
    <xf numFmtId="180" fontId="162" fillId="2" borderId="30" xfId="0" applyNumberFormat="1" applyFont="1" applyFill="1" applyBorder="1" applyAlignment="1">
      <alignment horizontal="center" vertical="center"/>
    </xf>
    <xf numFmtId="0" fontId="162" fillId="2" borderId="33" xfId="0" applyFont="1" applyFill="1" applyBorder="1" applyAlignment="1">
      <alignment horizontal="center" vertical="center"/>
    </xf>
    <xf numFmtId="0" fontId="166" fillId="2" borderId="28" xfId="0" applyFont="1" applyFill="1" applyBorder="1" applyAlignment="1">
      <alignment horizontal="center" vertical="center"/>
    </xf>
    <xf numFmtId="0" fontId="166" fillId="2" borderId="29" xfId="0" applyFont="1" applyFill="1" applyBorder="1" applyAlignment="1">
      <alignment horizontal="center" vertical="center"/>
    </xf>
    <xf numFmtId="176" fontId="172" fillId="2" borderId="16" xfId="0" applyNumberFormat="1" applyFont="1" applyFill="1" applyBorder="1" applyAlignment="1">
      <alignment horizontal="center"/>
    </xf>
    <xf numFmtId="176" fontId="161" fillId="2" borderId="16" xfId="0" applyNumberFormat="1" applyFont="1" applyFill="1" applyBorder="1" applyAlignment="1">
      <alignment horizontal="center"/>
    </xf>
    <xf numFmtId="0" fontId="161" fillId="2" borderId="16" xfId="0" applyFont="1" applyFill="1" applyBorder="1" applyAlignment="1">
      <alignment horizontal="center"/>
    </xf>
    <xf numFmtId="44" fontId="166" fillId="2" borderId="28" xfId="3" applyFont="1" applyFill="1" applyBorder="1" applyAlignment="1">
      <alignment horizontal="center" vertical="center"/>
    </xf>
    <xf numFmtId="44" fontId="166" fillId="2" borderId="29" xfId="3" applyFont="1" applyFill="1" applyBorder="1" applyAlignment="1">
      <alignment horizontal="center" vertical="center"/>
    </xf>
    <xf numFmtId="179" fontId="166" fillId="2" borderId="28" xfId="3" applyNumberFormat="1" applyFont="1" applyFill="1" applyBorder="1" applyAlignment="1">
      <alignment horizontal="left" vertical="center"/>
    </xf>
    <xf numFmtId="179" fontId="166" fillId="2" borderId="29" xfId="3" applyNumberFormat="1" applyFont="1" applyFill="1" applyBorder="1" applyAlignment="1">
      <alignment horizontal="left" vertical="center"/>
    </xf>
    <xf numFmtId="0" fontId="172" fillId="2" borderId="16" xfId="0" applyFont="1" applyFill="1" applyBorder="1" applyAlignment="1">
      <alignment horizontal="center"/>
    </xf>
    <xf numFmtId="176" fontId="169" fillId="2" borderId="0" xfId="0" applyNumberFormat="1" applyFont="1" applyFill="1" applyBorder="1" applyAlignment="1">
      <alignment horizontal="center"/>
    </xf>
    <xf numFmtId="0" fontId="172" fillId="2" borderId="33" xfId="0" applyFont="1" applyFill="1" applyBorder="1" applyAlignment="1">
      <alignment horizontal="center"/>
    </xf>
    <xf numFmtId="0" fontId="172" fillId="2" borderId="29" xfId="0" applyFont="1" applyFill="1" applyBorder="1" applyAlignment="1">
      <alignment horizontal="center"/>
    </xf>
    <xf numFmtId="0" fontId="166" fillId="2" borderId="0" xfId="0" applyFont="1" applyFill="1" applyBorder="1" applyAlignment="1">
      <alignment horizontal="center" vertical="center"/>
    </xf>
    <xf numFmtId="0" fontId="172" fillId="2" borderId="34" xfId="0" applyFont="1" applyFill="1" applyBorder="1" applyAlignment="1">
      <alignment horizontal="center"/>
    </xf>
    <xf numFmtId="0" fontId="166" fillId="2" borderId="27" xfId="0" quotePrefix="1" applyFont="1" applyFill="1" applyBorder="1" applyAlignment="1">
      <alignment horizontal="center" vertical="center"/>
    </xf>
    <xf numFmtId="180" fontId="161" fillId="2" borderId="4" xfId="0" applyNumberFormat="1" applyFont="1" applyFill="1" applyBorder="1" applyAlignment="1">
      <alignment horizontal="center"/>
    </xf>
    <xf numFmtId="180" fontId="161" fillId="2" borderId="16" xfId="0" applyNumberFormat="1" applyFont="1" applyFill="1" applyBorder="1" applyAlignment="1">
      <alignment horizontal="center"/>
    </xf>
    <xf numFmtId="176" fontId="162" fillId="2" borderId="16" xfId="0" applyNumberFormat="1" applyFont="1" applyFill="1" applyBorder="1" applyAlignment="1">
      <alignment horizontal="center"/>
    </xf>
    <xf numFmtId="0" fontId="162" fillId="2" borderId="16" xfId="0" applyFont="1" applyFill="1" applyBorder="1" applyAlignment="1">
      <alignment horizontal="center"/>
    </xf>
    <xf numFmtId="0" fontId="162" fillId="2" borderId="5" xfId="0" applyFont="1" applyFill="1" applyBorder="1" applyAlignment="1">
      <alignment horizontal="center"/>
    </xf>
    <xf numFmtId="0" fontId="166" fillId="9" borderId="0" xfId="0" applyFont="1" applyFill="1" applyAlignment="1">
      <alignment horizontal="center"/>
    </xf>
    <xf numFmtId="179" fontId="189" fillId="2" borderId="12" xfId="0" applyNumberFormat="1" applyFont="1" applyFill="1" applyBorder="1" applyAlignment="1">
      <alignment horizontal="center"/>
    </xf>
    <xf numFmtId="0" fontId="189" fillId="2" borderId="12" xfId="0" applyFont="1" applyFill="1" applyBorder="1" applyAlignment="1">
      <alignment horizontal="center"/>
    </xf>
    <xf numFmtId="179" fontId="189" fillId="2" borderId="12" xfId="0" applyNumberFormat="1" applyFont="1" applyFill="1" applyBorder="1" applyAlignment="1">
      <alignment horizontal="right"/>
    </xf>
    <xf numFmtId="0" fontId="166" fillId="8" borderId="4" xfId="0" applyFont="1" applyFill="1" applyBorder="1" applyAlignment="1">
      <alignment horizontal="center"/>
    </xf>
    <xf numFmtId="0" fontId="166" fillId="8" borderId="5" xfId="0" applyFont="1" applyFill="1" applyBorder="1" applyAlignment="1">
      <alignment horizontal="center"/>
    </xf>
    <xf numFmtId="0" fontId="172" fillId="8" borderId="4" xfId="0" applyFont="1" applyFill="1" applyBorder="1" applyAlignment="1">
      <alignment horizontal="center"/>
    </xf>
    <xf numFmtId="0" fontId="172" fillId="8" borderId="16" xfId="0" applyFont="1" applyFill="1" applyBorder="1" applyAlignment="1">
      <alignment horizontal="center"/>
    </xf>
    <xf numFmtId="0" fontId="172" fillId="8" borderId="41" xfId="0" applyFont="1" applyFill="1" applyBorder="1" applyAlignment="1">
      <alignment horizontal="center"/>
    </xf>
    <xf numFmtId="0" fontId="172" fillId="9" borderId="5" xfId="0" applyFont="1" applyFill="1" applyBorder="1" applyAlignment="1">
      <alignment horizontal="center"/>
    </xf>
    <xf numFmtId="0" fontId="172" fillId="2" borderId="4" xfId="0" applyFont="1" applyFill="1" applyBorder="1" applyAlignment="1">
      <alignment horizontal="center"/>
    </xf>
    <xf numFmtId="0" fontId="172" fillId="2" borderId="41" xfId="0" applyFont="1" applyFill="1" applyBorder="1" applyAlignment="1">
      <alignment horizontal="center"/>
    </xf>
    <xf numFmtId="0" fontId="172" fillId="2" borderId="35" xfId="0" applyFont="1" applyFill="1" applyBorder="1" applyAlignment="1">
      <alignment horizontal="center"/>
    </xf>
    <xf numFmtId="0" fontId="172" fillId="2" borderId="36" xfId="0" applyFont="1" applyFill="1" applyBorder="1" applyAlignment="1">
      <alignment horizontal="center"/>
    </xf>
    <xf numFmtId="0" fontId="172" fillId="2" borderId="37" xfId="0" applyFont="1" applyFill="1" applyBorder="1" applyAlignment="1">
      <alignment horizontal="center"/>
    </xf>
    <xf numFmtId="0" fontId="169" fillId="2" borderId="4" xfId="0" applyFont="1" applyFill="1" applyBorder="1" applyAlignment="1">
      <alignment horizontal="center"/>
    </xf>
    <xf numFmtId="0" fontId="169" fillId="2" borderId="5" xfId="0" applyFont="1" applyFill="1" applyBorder="1" applyAlignment="1">
      <alignment horizontal="center"/>
    </xf>
    <xf numFmtId="0" fontId="162" fillId="9" borderId="4" xfId="0" applyFont="1" applyFill="1" applyBorder="1" applyAlignment="1">
      <alignment horizontal="center"/>
    </xf>
    <xf numFmtId="0" fontId="162" fillId="9" borderId="16" xfId="0" applyFont="1" applyFill="1" applyBorder="1" applyAlignment="1">
      <alignment horizontal="center"/>
    </xf>
    <xf numFmtId="0" fontId="162" fillId="9" borderId="41" xfId="0" applyFont="1" applyFill="1" applyBorder="1" applyAlignment="1">
      <alignment horizontal="center"/>
    </xf>
    <xf numFmtId="176" fontId="174" fillId="2" borderId="23" xfId="0" applyNumberFormat="1" applyFont="1" applyFill="1" applyBorder="1" applyAlignment="1">
      <alignment horizontal="center"/>
    </xf>
    <xf numFmtId="176" fontId="174" fillId="2" borderId="39" xfId="0" applyNumberFormat="1" applyFont="1" applyFill="1" applyBorder="1" applyAlignment="1">
      <alignment horizontal="center"/>
    </xf>
    <xf numFmtId="176" fontId="174" fillId="2" borderId="40" xfId="0" applyNumberFormat="1" applyFont="1" applyFill="1" applyBorder="1" applyAlignment="1">
      <alignment horizontal="center"/>
    </xf>
    <xf numFmtId="0" fontId="172" fillId="9" borderId="16" xfId="0" applyFont="1" applyFill="1" applyBorder="1" applyAlignment="1">
      <alignment horizontal="left"/>
    </xf>
    <xf numFmtId="0" fontId="172" fillId="9" borderId="5" xfId="0" applyFont="1" applyFill="1" applyBorder="1" applyAlignment="1">
      <alignment horizontal="left"/>
    </xf>
    <xf numFmtId="0" fontId="162" fillId="2" borderId="0" xfId="0" applyFont="1" applyFill="1" applyBorder="1" applyAlignment="1">
      <alignment horizontal="center"/>
    </xf>
    <xf numFmtId="10" fontId="198" fillId="2" borderId="30" xfId="1" applyNumberFormat="1" applyFont="1" applyFill="1" applyBorder="1" applyAlignment="1">
      <alignment horizontal="left"/>
    </xf>
    <xf numFmtId="10" fontId="198" fillId="2" borderId="28" xfId="1" applyNumberFormat="1" applyFont="1" applyFill="1" applyBorder="1" applyAlignment="1">
      <alignment horizontal="left"/>
    </xf>
    <xf numFmtId="10" fontId="198" fillId="2" borderId="31" xfId="1" applyNumberFormat="1" applyFont="1" applyFill="1" applyBorder="1" applyAlignment="1">
      <alignment horizontal="left"/>
    </xf>
    <xf numFmtId="0" fontId="173" fillId="2" borderId="30" xfId="0" applyFont="1" applyFill="1" applyBorder="1" applyAlignment="1">
      <alignment horizontal="center" vertical="center"/>
    </xf>
    <xf numFmtId="0" fontId="173" fillId="2" borderId="33" xfId="0" applyFont="1" applyFill="1" applyBorder="1" applyAlignment="1">
      <alignment horizontal="center" vertical="center"/>
    </xf>
    <xf numFmtId="176" fontId="169" fillId="2" borderId="16" xfId="0" applyNumberFormat="1" applyFont="1" applyFill="1" applyBorder="1" applyAlignment="1">
      <alignment horizontal="center"/>
    </xf>
    <xf numFmtId="9" fontId="172" fillId="2" borderId="28" xfId="1" applyFont="1" applyFill="1" applyBorder="1" applyAlignment="1">
      <alignment horizontal="left" vertical="center"/>
    </xf>
    <xf numFmtId="9" fontId="172" fillId="2" borderId="29" xfId="1" applyFont="1" applyFill="1" applyBorder="1" applyAlignment="1">
      <alignment horizontal="left" vertical="center"/>
    </xf>
    <xf numFmtId="176" fontId="215" fillId="2" borderId="16" xfId="0" applyNumberFormat="1" applyFont="1" applyFill="1" applyBorder="1" applyAlignment="1">
      <alignment horizontal="center"/>
    </xf>
    <xf numFmtId="0" fontId="215" fillId="2" borderId="16" xfId="0" applyFont="1" applyFill="1" applyBorder="1" applyAlignment="1">
      <alignment horizontal="center"/>
    </xf>
    <xf numFmtId="0" fontId="221" fillId="2" borderId="0" xfId="0" applyFont="1" applyFill="1" applyBorder="1" applyAlignment="1">
      <alignment horizontal="center"/>
    </xf>
    <xf numFmtId="176" fontId="215" fillId="2" borderId="0" xfId="0" applyNumberFormat="1" applyFont="1" applyFill="1" applyBorder="1" applyAlignment="1">
      <alignment horizontal="center"/>
    </xf>
    <xf numFmtId="180" fontId="169" fillId="2" borderId="4" xfId="0" applyNumberFormat="1" applyFont="1" applyFill="1" applyBorder="1" applyAlignment="1">
      <alignment horizontal="center"/>
    </xf>
    <xf numFmtId="180" fontId="169" fillId="2" borderId="16" xfId="0" applyNumberFormat="1" applyFont="1" applyFill="1" applyBorder="1" applyAlignment="1">
      <alignment horizontal="center"/>
    </xf>
    <xf numFmtId="0" fontId="215" fillId="2" borderId="5" xfId="0" applyFont="1" applyFill="1" applyBorder="1" applyAlignment="1">
      <alignment horizontal="center"/>
    </xf>
    <xf numFmtId="176" fontId="169" fillId="9" borderId="16" xfId="0" applyNumberFormat="1" applyFont="1" applyFill="1" applyBorder="1" applyAlignment="1">
      <alignment horizontal="center"/>
    </xf>
    <xf numFmtId="0" fontId="210" fillId="9" borderId="0" xfId="0" applyFont="1" applyFill="1" applyAlignment="1">
      <alignment horizontal="center" vertical="center"/>
    </xf>
    <xf numFmtId="0" fontId="215" fillId="26" borderId="2" xfId="0" applyFont="1" applyFill="1" applyBorder="1" applyAlignment="1">
      <alignment horizontal="center"/>
    </xf>
    <xf numFmtId="0" fontId="215" fillId="26" borderId="8" xfId="0" applyFont="1" applyFill="1" applyBorder="1" applyAlignment="1">
      <alignment horizontal="center"/>
    </xf>
    <xf numFmtId="0" fontId="169" fillId="26" borderId="4" xfId="0" applyFont="1" applyFill="1" applyBorder="1" applyAlignment="1">
      <alignment horizontal="center"/>
    </xf>
    <xf numFmtId="0" fontId="169" fillId="26" borderId="5" xfId="0" applyFont="1" applyFill="1" applyBorder="1" applyAlignment="1">
      <alignment horizontal="center"/>
    </xf>
    <xf numFmtId="0" fontId="166" fillId="2" borderId="0" xfId="0" applyFont="1" applyFill="1" applyAlignment="1">
      <alignment horizontal="left" vertical="center"/>
    </xf>
    <xf numFmtId="0" fontId="166" fillId="26" borderId="4" xfId="0" applyFont="1" applyFill="1" applyBorder="1" applyAlignment="1">
      <alignment horizontal="center"/>
    </xf>
    <xf numFmtId="0" fontId="166" fillId="26" borderId="5" xfId="0" applyFont="1" applyFill="1" applyBorder="1" applyAlignment="1">
      <alignment horizontal="center"/>
    </xf>
    <xf numFmtId="0" fontId="161" fillId="26" borderId="4" xfId="0" applyFont="1" applyFill="1" applyBorder="1" applyAlignment="1">
      <alignment horizontal="center"/>
    </xf>
    <xf numFmtId="0" fontId="161" fillId="26" borderId="16" xfId="0" applyFont="1" applyFill="1" applyBorder="1" applyAlignment="1">
      <alignment horizontal="center"/>
    </xf>
    <xf numFmtId="0" fontId="161" fillId="26" borderId="41" xfId="0" applyFont="1" applyFill="1" applyBorder="1" applyAlignment="1">
      <alignment horizontal="center"/>
    </xf>
    <xf numFmtId="0" fontId="221" fillId="9" borderId="4" xfId="0" applyFont="1" applyFill="1" applyBorder="1" applyAlignment="1">
      <alignment horizontal="center"/>
    </xf>
    <xf numFmtId="0" fontId="221" fillId="9" borderId="5" xfId="0" applyFont="1" applyFill="1" applyBorder="1" applyAlignment="1">
      <alignment horizontal="center"/>
    </xf>
    <xf numFmtId="0" fontId="166" fillId="2" borderId="5" xfId="0" applyFont="1" applyFill="1" applyBorder="1" applyAlignment="1">
      <alignment horizontal="center"/>
    </xf>
    <xf numFmtId="180" fontId="215" fillId="2" borderId="16" xfId="0" applyNumberFormat="1" applyFont="1" applyFill="1" applyBorder="1" applyAlignment="1">
      <alignment horizontal="center"/>
    </xf>
    <xf numFmtId="180" fontId="174" fillId="2" borderId="23" xfId="0" applyNumberFormat="1" applyFont="1" applyFill="1" applyBorder="1" applyAlignment="1">
      <alignment horizontal="center"/>
    </xf>
    <xf numFmtId="180" fontId="174" fillId="2" borderId="39" xfId="0" applyNumberFormat="1" applyFont="1" applyFill="1" applyBorder="1" applyAlignment="1">
      <alignment horizontal="center"/>
    </xf>
    <xf numFmtId="180" fontId="174" fillId="2" borderId="40" xfId="0" applyNumberFormat="1" applyFont="1" applyFill="1" applyBorder="1" applyAlignment="1">
      <alignment horizontal="center"/>
    </xf>
    <xf numFmtId="0" fontId="166" fillId="2" borderId="0" xfId="0" applyFont="1" applyFill="1" applyAlignment="1">
      <alignment horizontal="center" vertical="center"/>
    </xf>
    <xf numFmtId="0" fontId="210" fillId="3" borderId="0" xfId="0" applyFont="1" applyFill="1" applyBorder="1" applyAlignment="1">
      <alignment horizontal="center"/>
    </xf>
    <xf numFmtId="0" fontId="166" fillId="20" borderId="4" xfId="0" applyFont="1" applyFill="1" applyBorder="1" applyAlignment="1">
      <alignment horizontal="center"/>
    </xf>
    <xf numFmtId="0" fontId="166" fillId="20" borderId="5" xfId="0" applyFont="1" applyFill="1" applyBorder="1" applyAlignment="1">
      <alignment horizontal="center"/>
    </xf>
    <xf numFmtId="0" fontId="161" fillId="20" borderId="4" xfId="0" applyFont="1" applyFill="1" applyBorder="1" applyAlignment="1">
      <alignment horizontal="center"/>
    </xf>
    <xf numFmtId="0" fontId="161" fillId="20" borderId="16" xfId="0" applyFont="1" applyFill="1" applyBorder="1" applyAlignment="1">
      <alignment horizontal="center"/>
    </xf>
    <xf numFmtId="0" fontId="161" fillId="20" borderId="41" xfId="0" applyFont="1" applyFill="1" applyBorder="1" applyAlignment="1">
      <alignment horizontal="center"/>
    </xf>
    <xf numFmtId="0" fontId="210" fillId="3" borderId="0" xfId="0" applyFont="1" applyFill="1" applyBorder="1" applyAlignment="1">
      <alignment horizontal="right"/>
    </xf>
    <xf numFmtId="176" fontId="161" fillId="9" borderId="16" xfId="0" applyNumberFormat="1" applyFont="1" applyFill="1" applyBorder="1" applyAlignment="1">
      <alignment horizontal="center"/>
    </xf>
    <xf numFmtId="176" fontId="163" fillId="2" borderId="16" xfId="0" applyNumberFormat="1" applyFont="1" applyFill="1" applyBorder="1" applyAlignment="1">
      <alignment horizontal="center"/>
    </xf>
    <xf numFmtId="180" fontId="172" fillId="2" borderId="16" xfId="0" applyNumberFormat="1" applyFont="1" applyFill="1" applyBorder="1" applyAlignment="1">
      <alignment horizontal="center"/>
    </xf>
    <xf numFmtId="179" fontId="166" fillId="2" borderId="28" xfId="3" applyNumberFormat="1" applyFont="1" applyFill="1" applyBorder="1" applyAlignment="1">
      <alignment horizontal="center" vertical="center"/>
    </xf>
    <xf numFmtId="179" fontId="166" fillId="2" borderId="29" xfId="3" applyNumberFormat="1" applyFont="1" applyFill="1" applyBorder="1" applyAlignment="1">
      <alignment horizontal="center" vertical="center"/>
    </xf>
    <xf numFmtId="179" fontId="166" fillId="2" borderId="31" xfId="3" applyNumberFormat="1" applyFont="1" applyFill="1" applyBorder="1" applyAlignment="1">
      <alignment horizontal="center" vertical="center"/>
    </xf>
    <xf numFmtId="179" fontId="166" fillId="2" borderId="34" xfId="3" applyNumberFormat="1" applyFont="1" applyFill="1" applyBorder="1" applyAlignment="1">
      <alignment horizontal="center" vertical="center"/>
    </xf>
    <xf numFmtId="180" fontId="162" fillId="2" borderId="0" xfId="0" applyNumberFormat="1" applyFont="1" applyFill="1" applyBorder="1" applyAlignment="1">
      <alignment horizontal="center"/>
    </xf>
    <xf numFmtId="180" fontId="169" fillId="2" borderId="0" xfId="0" applyNumberFormat="1" applyFont="1" applyFill="1" applyBorder="1" applyAlignment="1">
      <alignment horizontal="center"/>
    </xf>
    <xf numFmtId="0" fontId="175" fillId="2" borderId="0" xfId="0" applyFont="1" applyFill="1" applyAlignment="1">
      <alignment horizontal="left" vertical="center"/>
    </xf>
    <xf numFmtId="179" fontId="176" fillId="2" borderId="12" xfId="0" applyNumberFormat="1" applyFont="1" applyFill="1" applyBorder="1" applyAlignment="1">
      <alignment horizontal="center"/>
    </xf>
    <xf numFmtId="0" fontId="176" fillId="2" borderId="12" xfId="0" applyFont="1" applyFill="1" applyBorder="1" applyAlignment="1">
      <alignment horizontal="center"/>
    </xf>
    <xf numFmtId="44" fontId="175" fillId="2" borderId="28" xfId="3" applyFont="1" applyFill="1" applyBorder="1" applyAlignment="1">
      <alignment horizontal="center" vertical="center"/>
    </xf>
    <xf numFmtId="44" fontId="175" fillId="2" borderId="29" xfId="3" applyFont="1" applyFill="1" applyBorder="1" applyAlignment="1">
      <alignment horizontal="center" vertical="center"/>
    </xf>
    <xf numFmtId="0" fontId="198" fillId="2" borderId="29" xfId="0" applyFont="1" applyFill="1" applyBorder="1" applyAlignment="1">
      <alignment horizontal="center"/>
    </xf>
    <xf numFmtId="179" fontId="175" fillId="2" borderId="28" xfId="3" applyNumberFormat="1" applyFont="1" applyFill="1" applyBorder="1" applyAlignment="1">
      <alignment horizontal="center" vertical="center"/>
    </xf>
    <xf numFmtId="179" fontId="175" fillId="2" borderId="31" xfId="3" applyNumberFormat="1" applyFont="1" applyFill="1" applyBorder="1" applyAlignment="1">
      <alignment horizontal="center" vertical="center"/>
    </xf>
    <xf numFmtId="179" fontId="175" fillId="2" borderId="29" xfId="3" applyNumberFormat="1" applyFont="1" applyFill="1" applyBorder="1" applyAlignment="1">
      <alignment horizontal="center" vertical="center"/>
    </xf>
    <xf numFmtId="179" fontId="175" fillId="2" borderId="34" xfId="3" applyNumberFormat="1" applyFont="1" applyFill="1" applyBorder="1" applyAlignment="1">
      <alignment horizontal="center" vertical="center"/>
    </xf>
    <xf numFmtId="179" fontId="176" fillId="2" borderId="12" xfId="0" applyNumberFormat="1" applyFont="1" applyFill="1" applyBorder="1" applyAlignment="1">
      <alignment horizontal="right"/>
    </xf>
    <xf numFmtId="0" fontId="198" fillId="9" borderId="16" xfId="0" applyFont="1" applyFill="1" applyBorder="1" applyAlignment="1">
      <alignment horizontal="left"/>
    </xf>
    <xf numFmtId="0" fontId="198" fillId="9" borderId="5" xfId="0" applyFont="1" applyFill="1" applyBorder="1" applyAlignment="1">
      <alignment horizontal="left"/>
    </xf>
    <xf numFmtId="0" fontId="198" fillId="2" borderId="34" xfId="0" applyFont="1" applyFill="1" applyBorder="1" applyAlignment="1">
      <alignment horizontal="center"/>
    </xf>
    <xf numFmtId="0" fontId="175" fillId="2" borderId="27" xfId="0" quotePrefix="1" applyFont="1" applyFill="1" applyBorder="1" applyAlignment="1">
      <alignment horizontal="center" vertical="center"/>
    </xf>
    <xf numFmtId="0" fontId="273" fillId="9" borderId="4" xfId="0" applyFont="1" applyFill="1" applyBorder="1" applyAlignment="1">
      <alignment horizontal="center"/>
    </xf>
    <xf numFmtId="0" fontId="273" fillId="9" borderId="16" xfId="0" applyFont="1" applyFill="1" applyBorder="1" applyAlignment="1">
      <alignment horizontal="center"/>
    </xf>
    <xf numFmtId="0" fontId="273" fillId="9" borderId="41" xfId="0" applyFont="1" applyFill="1" applyBorder="1" applyAlignment="1">
      <alignment horizontal="center"/>
    </xf>
    <xf numFmtId="180" fontId="176" fillId="2" borderId="23" xfId="0" applyNumberFormat="1" applyFont="1" applyFill="1" applyBorder="1" applyAlignment="1">
      <alignment horizontal="center"/>
    </xf>
    <xf numFmtId="180" fontId="176" fillId="2" borderId="39" xfId="0" applyNumberFormat="1" applyFont="1" applyFill="1" applyBorder="1" applyAlignment="1">
      <alignment horizontal="center"/>
    </xf>
    <xf numFmtId="180" fontId="176" fillId="2" borderId="40" xfId="0" applyNumberFormat="1" applyFont="1" applyFill="1" applyBorder="1" applyAlignment="1">
      <alignment horizontal="center"/>
    </xf>
    <xf numFmtId="0" fontId="198" fillId="9" borderId="4" xfId="0" applyFont="1" applyFill="1" applyBorder="1" applyAlignment="1">
      <alignment horizontal="center"/>
    </xf>
    <xf numFmtId="0" fontId="198" fillId="9" borderId="16" xfId="0" applyFont="1" applyFill="1" applyBorder="1" applyAlignment="1">
      <alignment horizontal="center"/>
    </xf>
    <xf numFmtId="176" fontId="274" fillId="9" borderId="16" xfId="0" applyNumberFormat="1" applyFont="1" applyFill="1" applyBorder="1" applyAlignment="1">
      <alignment horizontal="center"/>
    </xf>
    <xf numFmtId="0" fontId="175" fillId="2" borderId="0" xfId="0" applyFont="1" applyFill="1" applyAlignment="1">
      <alignment horizontal="center" vertical="center"/>
    </xf>
    <xf numFmtId="180" fontId="273" fillId="2" borderId="30" xfId="0" applyNumberFormat="1" applyFont="1" applyFill="1" applyBorder="1" applyAlignment="1">
      <alignment horizontal="center" vertical="center"/>
    </xf>
    <xf numFmtId="0" fontId="273" fillId="2" borderId="33" xfId="0" applyFont="1" applyFill="1" applyBorder="1" applyAlignment="1">
      <alignment horizontal="center" vertical="center"/>
    </xf>
    <xf numFmtId="0" fontId="175" fillId="2" borderId="28" xfId="0" applyFont="1" applyFill="1" applyBorder="1" applyAlignment="1">
      <alignment horizontal="center" vertical="center"/>
    </xf>
    <xf numFmtId="0" fontId="175" fillId="2" borderId="29" xfId="0" applyFont="1" applyFill="1" applyBorder="1" applyAlignment="1">
      <alignment horizontal="center" vertical="center"/>
    </xf>
    <xf numFmtId="176" fontId="209" fillId="2" borderId="16" xfId="0" applyNumberFormat="1" applyFont="1" applyFill="1" applyBorder="1" applyAlignment="1">
      <alignment horizontal="center"/>
    </xf>
    <xf numFmtId="180" fontId="198" fillId="2" borderId="16" xfId="0" applyNumberFormat="1" applyFont="1" applyFill="1" applyBorder="1" applyAlignment="1">
      <alignment horizontal="center"/>
    </xf>
    <xf numFmtId="0" fontId="198" fillId="2" borderId="16" xfId="0" applyFont="1" applyFill="1" applyBorder="1" applyAlignment="1">
      <alignment horizontal="center"/>
    </xf>
    <xf numFmtId="0" fontId="175" fillId="20" borderId="4" xfId="0" applyFont="1" applyFill="1" applyBorder="1" applyAlignment="1">
      <alignment horizontal="center"/>
    </xf>
    <xf numFmtId="0" fontId="175" fillId="20" borderId="5" xfId="0" applyFont="1" applyFill="1" applyBorder="1" applyAlignment="1">
      <alignment horizontal="center"/>
    </xf>
    <xf numFmtId="0" fontId="200" fillId="20" borderId="4" xfId="0" applyFont="1" applyFill="1" applyBorder="1" applyAlignment="1">
      <alignment horizontal="center"/>
    </xf>
    <xf numFmtId="0" fontId="200" fillId="20" borderId="16" xfId="0" applyFont="1" applyFill="1" applyBorder="1" applyAlignment="1">
      <alignment horizontal="center"/>
    </xf>
    <xf numFmtId="0" fontId="200" fillId="20" borderId="41" xfId="0" applyFont="1" applyFill="1" applyBorder="1" applyAlignment="1">
      <alignment horizontal="center"/>
    </xf>
    <xf numFmtId="0" fontId="198" fillId="9" borderId="5" xfId="0" applyFont="1" applyFill="1" applyBorder="1" applyAlignment="1">
      <alignment horizontal="center"/>
    </xf>
    <xf numFmtId="0" fontId="198" fillId="2" borderId="4" xfId="0" applyFont="1" applyFill="1" applyBorder="1" applyAlignment="1">
      <alignment horizontal="center"/>
    </xf>
    <xf numFmtId="0" fontId="198" fillId="2" borderId="41" xfId="0" applyFont="1" applyFill="1" applyBorder="1" applyAlignment="1">
      <alignment horizontal="center"/>
    </xf>
    <xf numFmtId="0" fontId="198" fillId="2" borderId="35" xfId="0" applyFont="1" applyFill="1" applyBorder="1" applyAlignment="1">
      <alignment horizontal="center"/>
    </xf>
    <xf numFmtId="0" fontId="198" fillId="2" borderId="36" xfId="0" applyFont="1" applyFill="1" applyBorder="1" applyAlignment="1">
      <alignment horizontal="center"/>
    </xf>
    <xf numFmtId="0" fontId="198" fillId="2" borderId="37" xfId="0" applyFont="1" applyFill="1" applyBorder="1" applyAlignment="1">
      <alignment horizontal="center"/>
    </xf>
    <xf numFmtId="0" fontId="271" fillId="2" borderId="4" xfId="0" applyFont="1" applyFill="1" applyBorder="1" applyAlignment="1">
      <alignment horizontal="center"/>
    </xf>
    <xf numFmtId="0" fontId="271" fillId="2" borderId="5" xfId="0" applyFont="1" applyFill="1" applyBorder="1" applyAlignment="1">
      <alignment horizontal="center"/>
    </xf>
    <xf numFmtId="0" fontId="175" fillId="2" borderId="0" xfId="0" applyFont="1" applyFill="1" applyBorder="1" applyAlignment="1">
      <alignment horizontal="center" vertical="center"/>
    </xf>
    <xf numFmtId="180" fontId="273" fillId="2" borderId="0" xfId="0" applyNumberFormat="1" applyFont="1" applyFill="1" applyBorder="1" applyAlignment="1">
      <alignment horizontal="center"/>
    </xf>
    <xf numFmtId="0" fontId="273" fillId="2" borderId="0" xfId="0" applyFont="1" applyFill="1" applyBorder="1" applyAlignment="1">
      <alignment horizontal="center"/>
    </xf>
    <xf numFmtId="180" fontId="275" fillId="2" borderId="0" xfId="0" applyNumberFormat="1" applyFont="1" applyFill="1" applyBorder="1" applyAlignment="1">
      <alignment horizontal="center"/>
    </xf>
    <xf numFmtId="180" fontId="200" fillId="2" borderId="16" xfId="0" applyNumberFormat="1" applyFont="1" applyFill="1" applyBorder="1" applyAlignment="1">
      <alignment horizontal="center"/>
    </xf>
    <xf numFmtId="180" fontId="275" fillId="2" borderId="16" xfId="0" applyNumberFormat="1" applyFont="1" applyFill="1" applyBorder="1" applyAlignment="1">
      <alignment horizontal="center"/>
    </xf>
    <xf numFmtId="0" fontId="275" fillId="2" borderId="16" xfId="0" applyFont="1" applyFill="1" applyBorder="1" applyAlignment="1">
      <alignment horizontal="center"/>
    </xf>
    <xf numFmtId="0" fontId="275" fillId="2" borderId="5" xfId="0" applyFont="1" applyFill="1" applyBorder="1" applyAlignment="1">
      <alignment horizontal="center"/>
    </xf>
    <xf numFmtId="0" fontId="266" fillId="26" borderId="4" xfId="0" applyFont="1" applyFill="1" applyBorder="1" applyAlignment="1">
      <alignment horizontal="center"/>
    </xf>
    <xf numFmtId="0" fontId="266" fillId="26" borderId="5" xfId="0" applyFont="1" applyFill="1" applyBorder="1" applyAlignment="1">
      <alignment horizontal="center"/>
    </xf>
    <xf numFmtId="0" fontId="228" fillId="9" borderId="0" xfId="0" applyFont="1" applyFill="1" applyAlignment="1">
      <alignment horizontal="right" vertical="center"/>
    </xf>
    <xf numFmtId="0" fontId="191" fillId="9" borderId="0" xfId="0" applyFont="1" applyFill="1" applyAlignment="1">
      <alignment horizontal="center"/>
    </xf>
    <xf numFmtId="0" fontId="0" fillId="26" borderId="4" xfId="0" applyFont="1" applyFill="1" applyBorder="1" applyAlignment="1">
      <alignment horizontal="center"/>
    </xf>
    <xf numFmtId="0" fontId="0" fillId="26" borderId="5" xfId="0" applyFont="1" applyFill="1" applyBorder="1" applyAlignment="1">
      <alignment horizontal="center"/>
    </xf>
    <xf numFmtId="0" fontId="190" fillId="26" borderId="4" xfId="0" applyFont="1" applyFill="1" applyBorder="1" applyAlignment="1">
      <alignment horizontal="center"/>
    </xf>
    <xf numFmtId="0" fontId="190" fillId="26" borderId="16" xfId="0" applyFont="1" applyFill="1" applyBorder="1" applyAlignment="1">
      <alignment horizontal="center"/>
    </xf>
    <xf numFmtId="0" fontId="190" fillId="26" borderId="41" xfId="0" applyFont="1" applyFill="1" applyBorder="1" applyAlignment="1">
      <alignment horizontal="center"/>
    </xf>
    <xf numFmtId="0" fontId="289" fillId="26" borderId="2" xfId="0" applyFont="1" applyFill="1" applyBorder="1" applyAlignment="1">
      <alignment horizontal="center"/>
    </xf>
    <xf numFmtId="0" fontId="289" fillId="26" borderId="8" xfId="0" applyFont="1" applyFill="1" applyBorder="1" applyAlignment="1">
      <alignment horizontal="center"/>
    </xf>
    <xf numFmtId="176" fontId="289" fillId="2" borderId="0" xfId="0" applyNumberFormat="1" applyFont="1" applyFill="1" applyBorder="1" applyAlignment="1">
      <alignment horizontal="center"/>
    </xf>
    <xf numFmtId="0" fontId="290" fillId="9" borderId="4" xfId="0" applyFont="1" applyFill="1" applyBorder="1" applyAlignment="1">
      <alignment horizontal="center"/>
    </xf>
    <xf numFmtId="0" fontId="290" fillId="9" borderId="5" xfId="0" applyFont="1" applyFill="1" applyBorder="1" applyAlignment="1">
      <alignment horizontal="center"/>
    </xf>
    <xf numFmtId="176" fontId="269" fillId="9" borderId="16" xfId="0" applyNumberFormat="1" applyFont="1" applyFill="1" applyBorder="1" applyAlignment="1">
      <alignment horizontal="center"/>
    </xf>
    <xf numFmtId="180" fontId="269" fillId="2" borderId="4" xfId="0" applyNumberFormat="1" applyFont="1" applyFill="1" applyBorder="1" applyAlignment="1">
      <alignment horizontal="center"/>
    </xf>
    <xf numFmtId="180" fontId="269" fillId="2" borderId="16" xfId="0" applyNumberFormat="1" applyFont="1" applyFill="1" applyBorder="1" applyAlignment="1">
      <alignment horizontal="center"/>
    </xf>
    <xf numFmtId="176" fontId="289" fillId="2" borderId="16" xfId="0" applyNumberFormat="1" applyFont="1" applyFill="1" applyBorder="1" applyAlignment="1">
      <alignment horizontal="center"/>
    </xf>
    <xf numFmtId="0" fontId="289" fillId="2" borderId="16" xfId="0" applyFont="1" applyFill="1" applyBorder="1" applyAlignment="1">
      <alignment horizontal="center"/>
    </xf>
    <xf numFmtId="0" fontId="289" fillId="2" borderId="5" xfId="0" applyFont="1" applyFill="1" applyBorder="1" applyAlignment="1">
      <alignment horizontal="center"/>
    </xf>
    <xf numFmtId="9" fontId="185" fillId="2" borderId="30" xfId="1" applyFont="1" applyFill="1" applyBorder="1" applyAlignment="1">
      <alignment horizontal="left"/>
    </xf>
    <xf numFmtId="9" fontId="185" fillId="2" borderId="28" xfId="1" applyFont="1" applyFill="1" applyBorder="1" applyAlignment="1">
      <alignment horizontal="left"/>
    </xf>
    <xf numFmtId="9" fontId="185" fillId="2" borderId="31" xfId="1" applyFont="1" applyFill="1" applyBorder="1" applyAlignment="1">
      <alignment horizontal="left"/>
    </xf>
    <xf numFmtId="0" fontId="268" fillId="2" borderId="30" xfId="0" applyFont="1" applyFill="1" applyBorder="1" applyAlignment="1">
      <alignment horizontal="center" vertical="center"/>
    </xf>
    <xf numFmtId="0" fontId="268" fillId="2" borderId="33" xfId="0" applyFont="1" applyFill="1" applyBorder="1" applyAlignment="1">
      <alignment horizontal="center" vertical="center"/>
    </xf>
    <xf numFmtId="176" fontId="269" fillId="2" borderId="16" xfId="0" applyNumberFormat="1" applyFont="1" applyFill="1" applyBorder="1" applyAlignment="1">
      <alignment horizontal="center"/>
    </xf>
    <xf numFmtId="9" fontId="185" fillId="2" borderId="28" xfId="1" applyFont="1" applyFill="1" applyBorder="1" applyAlignment="1">
      <alignment horizontal="left" vertical="center"/>
    </xf>
    <xf numFmtId="9" fontId="185" fillId="2" borderId="29" xfId="1" applyFont="1" applyFill="1" applyBorder="1" applyAlignment="1">
      <alignment horizontal="left" vertical="center"/>
    </xf>
    <xf numFmtId="0" fontId="262" fillId="2" borderId="4" xfId="0" applyFont="1" applyFill="1" applyBorder="1" applyAlignment="1">
      <alignment horizontal="center"/>
    </xf>
    <xf numFmtId="0" fontId="262" fillId="2" borderId="5" xfId="0" applyFont="1" applyFill="1" applyBorder="1" applyAlignment="1">
      <alignment horizontal="center"/>
    </xf>
    <xf numFmtId="0" fontId="262" fillId="18" borderId="4" xfId="0" applyFont="1" applyFill="1" applyBorder="1" applyAlignment="1">
      <alignment horizontal="center"/>
    </xf>
    <xf numFmtId="0" fontId="262" fillId="18" borderId="16" xfId="0" applyFont="1" applyFill="1" applyBorder="1" applyAlignment="1">
      <alignment horizontal="center"/>
    </xf>
    <xf numFmtId="0" fontId="262" fillId="2" borderId="35" xfId="0" applyFont="1" applyFill="1" applyBorder="1" applyAlignment="1">
      <alignment horizontal="center"/>
    </xf>
    <xf numFmtId="0" fontId="262" fillId="2" borderId="36" xfId="0" applyFont="1" applyFill="1" applyBorder="1" applyAlignment="1">
      <alignment horizontal="center"/>
    </xf>
    <xf numFmtId="0" fontId="262" fillId="2" borderId="37" xfId="0" applyFont="1" applyFill="1" applyBorder="1" applyAlignment="1">
      <alignment horizontal="center"/>
    </xf>
    <xf numFmtId="0" fontId="254" fillId="2" borderId="0" xfId="0" applyFont="1" applyFill="1" applyAlignment="1">
      <alignment horizontal="left" vertical="center"/>
    </xf>
    <xf numFmtId="0" fontId="257" fillId="2" borderId="6" xfId="0" applyFont="1" applyFill="1" applyBorder="1" applyAlignment="1">
      <alignment horizontal="center"/>
    </xf>
    <xf numFmtId="0" fontId="259" fillId="2" borderId="6" xfId="0" applyFont="1" applyFill="1" applyBorder="1" applyAlignment="1">
      <alignment horizontal="center"/>
    </xf>
    <xf numFmtId="0" fontId="259" fillId="2" borderId="4" xfId="0" applyFont="1" applyFill="1" applyBorder="1" applyAlignment="1">
      <alignment horizontal="center"/>
    </xf>
    <xf numFmtId="176" fontId="263" fillId="18" borderId="26" xfId="0" applyNumberFormat="1" applyFont="1" applyFill="1" applyBorder="1" applyAlignment="1">
      <alignment horizontal="center"/>
    </xf>
    <xf numFmtId="176" fontId="263" fillId="18" borderId="24" xfId="0" applyNumberFormat="1" applyFont="1" applyFill="1" applyBorder="1" applyAlignment="1">
      <alignment horizontal="center"/>
    </xf>
    <xf numFmtId="176" fontId="263" fillId="18" borderId="25" xfId="0" applyNumberFormat="1" applyFont="1" applyFill="1" applyBorder="1" applyAlignment="1">
      <alignment horizontal="center"/>
    </xf>
    <xf numFmtId="176" fontId="263" fillId="18" borderId="38" xfId="0" applyNumberFormat="1" applyFont="1" applyFill="1" applyBorder="1" applyAlignment="1">
      <alignment horizontal="center"/>
    </xf>
    <xf numFmtId="0" fontId="254" fillId="2" borderId="0" xfId="0" applyFont="1" applyFill="1" applyBorder="1" applyAlignment="1">
      <alignment horizontal="center" vertical="center"/>
    </xf>
    <xf numFmtId="0" fontId="262" fillId="18" borderId="29" xfId="0" applyFont="1" applyFill="1" applyBorder="1" applyAlignment="1">
      <alignment horizontal="center"/>
    </xf>
    <xf numFmtId="0" fontId="262" fillId="2" borderId="29" xfId="0" applyFont="1" applyFill="1" applyBorder="1" applyAlignment="1">
      <alignment horizontal="center"/>
    </xf>
    <xf numFmtId="0" fontId="259" fillId="2" borderId="28" xfId="0" applyFont="1" applyFill="1" applyBorder="1" applyAlignment="1">
      <alignment horizontal="center"/>
    </xf>
    <xf numFmtId="176" fontId="263" fillId="18" borderId="28" xfId="0" applyNumberFormat="1" applyFont="1" applyFill="1" applyBorder="1" applyAlignment="1">
      <alignment horizontal="center"/>
    </xf>
    <xf numFmtId="0" fontId="262" fillId="2" borderId="33" xfId="0" applyFont="1" applyFill="1" applyBorder="1" applyAlignment="1">
      <alignment horizontal="center"/>
    </xf>
    <xf numFmtId="0" fontId="254" fillId="2" borderId="29" xfId="0" applyFont="1" applyFill="1" applyBorder="1" applyAlignment="1">
      <alignment horizontal="center" vertical="center"/>
    </xf>
    <xf numFmtId="0" fontId="262" fillId="18" borderId="34" xfId="0" applyFont="1" applyFill="1" applyBorder="1" applyAlignment="1">
      <alignment horizontal="center"/>
    </xf>
    <xf numFmtId="0" fontId="254" fillId="2" borderId="0" xfId="0" quotePrefix="1" applyFont="1" applyFill="1" applyAlignment="1">
      <alignment horizontal="center" vertical="center"/>
    </xf>
    <xf numFmtId="0" fontId="254" fillId="2" borderId="0" xfId="0" applyFont="1" applyFill="1" applyAlignment="1">
      <alignment horizontal="center" vertical="center"/>
    </xf>
    <xf numFmtId="176" fontId="253" fillId="18" borderId="4" xfId="0" applyNumberFormat="1" applyFont="1" applyFill="1" applyBorder="1" applyAlignment="1">
      <alignment horizontal="center"/>
    </xf>
    <xf numFmtId="176" fontId="253" fillId="18" borderId="16" xfId="0" applyNumberFormat="1" applyFont="1" applyFill="1" applyBorder="1" applyAlignment="1">
      <alignment horizontal="center"/>
    </xf>
    <xf numFmtId="0" fontId="259" fillId="2" borderId="16" xfId="0" applyFont="1" applyFill="1" applyBorder="1" applyAlignment="1">
      <alignment horizontal="center"/>
    </xf>
    <xf numFmtId="0" fontId="259" fillId="2" borderId="5" xfId="0" applyFont="1" applyFill="1" applyBorder="1" applyAlignment="1">
      <alignment horizontal="center"/>
    </xf>
    <xf numFmtId="0" fontId="262" fillId="9" borderId="4" xfId="0" applyFont="1" applyFill="1" applyBorder="1" applyAlignment="1">
      <alignment horizontal="center"/>
    </xf>
    <xf numFmtId="0" fontId="262" fillId="9" borderId="16" xfId="0" applyFont="1" applyFill="1" applyBorder="1" applyAlignment="1">
      <alignment horizontal="center"/>
    </xf>
    <xf numFmtId="176" fontId="264" fillId="9" borderId="16" xfId="0" applyNumberFormat="1" applyFont="1" applyFill="1" applyBorder="1" applyAlignment="1">
      <alignment horizontal="center"/>
    </xf>
    <xf numFmtId="0" fontId="262" fillId="9" borderId="16" xfId="0" applyFont="1" applyFill="1" applyBorder="1" applyAlignment="1">
      <alignment horizontal="left"/>
    </xf>
    <xf numFmtId="0" fontId="262" fillId="9" borderId="5" xfId="0" applyFont="1" applyFill="1" applyBorder="1" applyAlignment="1">
      <alignment horizontal="left"/>
    </xf>
    <xf numFmtId="0" fontId="259" fillId="2" borderId="30" xfId="0" applyFont="1" applyFill="1" applyBorder="1" applyAlignment="1">
      <alignment horizontal="center" vertical="center"/>
    </xf>
    <xf numFmtId="0" fontId="259" fillId="2" borderId="33" xfId="0" applyFont="1" applyFill="1" applyBorder="1" applyAlignment="1">
      <alignment horizontal="center" vertical="center"/>
    </xf>
    <xf numFmtId="0" fontId="254" fillId="2" borderId="28" xfId="0" applyFont="1" applyFill="1" applyBorder="1" applyAlignment="1">
      <alignment horizontal="center" vertical="center"/>
    </xf>
    <xf numFmtId="176" fontId="253" fillId="2" borderId="16" xfId="0" applyNumberFormat="1" applyFont="1" applyFill="1" applyBorder="1" applyAlignment="1">
      <alignment horizontal="center"/>
    </xf>
    <xf numFmtId="44" fontId="254" fillId="2" borderId="28" xfId="3" applyFont="1" applyFill="1" applyBorder="1" applyAlignment="1">
      <alignment horizontal="center" vertical="center"/>
    </xf>
    <xf numFmtId="44" fontId="254" fillId="2" borderId="29" xfId="3" applyFont="1" applyFill="1" applyBorder="1" applyAlignment="1">
      <alignment horizontal="center" vertical="center"/>
    </xf>
    <xf numFmtId="177" fontId="254" fillId="2" borderId="28" xfId="3" applyNumberFormat="1" applyFont="1" applyFill="1" applyBorder="1" applyAlignment="1">
      <alignment horizontal="left" vertical="center"/>
    </xf>
    <xf numFmtId="177" fontId="254" fillId="2" borderId="31" xfId="3" applyNumberFormat="1" applyFont="1" applyFill="1" applyBorder="1" applyAlignment="1">
      <alignment horizontal="left" vertical="center"/>
    </xf>
    <xf numFmtId="177" fontId="254" fillId="2" borderId="29" xfId="3" applyNumberFormat="1" applyFont="1" applyFill="1" applyBorder="1" applyAlignment="1">
      <alignment horizontal="left" vertical="center"/>
    </xf>
    <xf numFmtId="177" fontId="254" fillId="2" borderId="34" xfId="3" applyNumberFormat="1" applyFont="1" applyFill="1" applyBorder="1" applyAlignment="1">
      <alignment horizontal="left" vertical="center"/>
    </xf>
    <xf numFmtId="0" fontId="262" fillId="2" borderId="34" xfId="0" applyFont="1" applyFill="1" applyBorder="1" applyAlignment="1">
      <alignment horizontal="center"/>
    </xf>
    <xf numFmtId="176" fontId="264" fillId="18" borderId="4" xfId="0" applyNumberFormat="1" applyFont="1" applyFill="1" applyBorder="1" applyAlignment="1">
      <alignment horizontal="center"/>
    </xf>
    <xf numFmtId="176" fontId="264" fillId="18" borderId="16" xfId="0" applyNumberFormat="1" applyFont="1" applyFill="1" applyBorder="1" applyAlignment="1">
      <alignment horizontal="center"/>
    </xf>
    <xf numFmtId="0" fontId="257" fillId="2" borderId="16" xfId="0" applyFont="1" applyFill="1" applyBorder="1" applyAlignment="1">
      <alignment horizontal="center"/>
    </xf>
    <xf numFmtId="0" fontId="257" fillId="2" borderId="5" xfId="0" applyFont="1" applyFill="1" applyBorder="1" applyAlignment="1">
      <alignment horizontal="center"/>
    </xf>
    <xf numFmtId="177" fontId="254" fillId="2" borderId="4" xfId="0" applyNumberFormat="1" applyFont="1" applyFill="1" applyBorder="1" applyAlignment="1">
      <alignment horizontal="left"/>
    </xf>
    <xf numFmtId="0" fontId="254" fillId="2" borderId="16" xfId="0" applyFont="1" applyFill="1" applyBorder="1" applyAlignment="1">
      <alignment horizontal="left"/>
    </xf>
    <xf numFmtId="0" fontId="254" fillId="2" borderId="5" xfId="0" applyFont="1" applyFill="1" applyBorder="1" applyAlignment="1">
      <alignment horizontal="left"/>
    </xf>
    <xf numFmtId="177" fontId="254" fillId="2" borderId="0" xfId="0" applyNumberFormat="1" applyFont="1" applyFill="1" applyBorder="1" applyAlignment="1">
      <alignment horizontal="center"/>
    </xf>
    <xf numFmtId="0" fontId="254" fillId="2" borderId="0" xfId="0" applyFont="1" applyFill="1" applyBorder="1" applyAlignment="1">
      <alignment horizontal="center"/>
    </xf>
    <xf numFmtId="0" fontId="245" fillId="2" borderId="4" xfId="0" applyFont="1" applyFill="1" applyBorder="1" applyAlignment="1">
      <alignment horizontal="center"/>
    </xf>
    <xf numFmtId="0" fontId="245" fillId="2" borderId="5" xfId="0" applyFont="1" applyFill="1" applyBorder="1" applyAlignment="1">
      <alignment horizontal="center"/>
    </xf>
    <xf numFmtId="0" fontId="245" fillId="18" borderId="4" xfId="0" applyFont="1" applyFill="1" applyBorder="1" applyAlignment="1">
      <alignment horizontal="center"/>
    </xf>
    <xf numFmtId="0" fontId="245" fillId="18" borderId="16" xfId="0" applyFont="1" applyFill="1" applyBorder="1" applyAlignment="1">
      <alignment horizontal="center"/>
    </xf>
    <xf numFmtId="0" fontId="245" fillId="2" borderId="35" xfId="0" applyFont="1" applyFill="1" applyBorder="1" applyAlignment="1">
      <alignment horizontal="center"/>
    </xf>
    <xf numFmtId="0" fontId="245" fillId="2" borderId="36" xfId="0" applyFont="1" applyFill="1" applyBorder="1" applyAlignment="1">
      <alignment horizontal="center"/>
    </xf>
    <xf numFmtId="0" fontId="245" fillId="2" borderId="37" xfId="0" applyFont="1" applyFill="1" applyBorder="1" applyAlignment="1">
      <alignment horizontal="center"/>
    </xf>
    <xf numFmtId="0" fontId="238" fillId="2" borderId="0" xfId="0" applyFont="1" applyFill="1" applyAlignment="1">
      <alignment horizontal="left" vertical="center"/>
    </xf>
    <xf numFmtId="0" fontId="240" fillId="2" borderId="6" xfId="0" applyFont="1" applyFill="1" applyBorder="1" applyAlignment="1">
      <alignment horizontal="center"/>
    </xf>
    <xf numFmtId="0" fontId="242" fillId="2" borderId="6" xfId="0" applyFont="1" applyFill="1" applyBorder="1" applyAlignment="1">
      <alignment horizontal="center"/>
    </xf>
    <xf numFmtId="0" fontId="242" fillId="2" borderId="4" xfId="0" applyFont="1" applyFill="1" applyBorder="1" applyAlignment="1">
      <alignment horizontal="center"/>
    </xf>
    <xf numFmtId="176" fontId="246" fillId="18" borderId="26" xfId="0" applyNumberFormat="1" applyFont="1" applyFill="1" applyBorder="1" applyAlignment="1">
      <alignment horizontal="center"/>
    </xf>
    <xf numFmtId="176" fontId="246" fillId="18" borderId="24" xfId="0" applyNumberFormat="1" applyFont="1" applyFill="1" applyBorder="1" applyAlignment="1">
      <alignment horizontal="center"/>
    </xf>
    <xf numFmtId="176" fontId="246" fillId="18" borderId="25" xfId="0" applyNumberFormat="1" applyFont="1" applyFill="1" applyBorder="1" applyAlignment="1">
      <alignment horizontal="center"/>
    </xf>
    <xf numFmtId="176" fontId="246" fillId="18" borderId="38" xfId="0" applyNumberFormat="1" applyFont="1" applyFill="1" applyBorder="1" applyAlignment="1">
      <alignment horizontal="center"/>
    </xf>
    <xf numFmtId="0" fontId="238" fillId="2" borderId="0" xfId="0" applyFont="1" applyFill="1" applyBorder="1" applyAlignment="1">
      <alignment horizontal="center" vertical="center"/>
    </xf>
    <xf numFmtId="0" fontId="245" fillId="18" borderId="29" xfId="0" applyFont="1" applyFill="1" applyBorder="1" applyAlignment="1">
      <alignment horizontal="center"/>
    </xf>
    <xf numFmtId="0" fontId="245" fillId="2" borderId="29" xfId="0" applyFont="1" applyFill="1" applyBorder="1" applyAlignment="1">
      <alignment horizontal="center"/>
    </xf>
    <xf numFmtId="0" fontId="242" fillId="2" borderId="28" xfId="0" applyFont="1" applyFill="1" applyBorder="1" applyAlignment="1">
      <alignment horizontal="center"/>
    </xf>
    <xf numFmtId="176" fontId="246" fillId="18" borderId="28" xfId="0" applyNumberFormat="1" applyFont="1" applyFill="1" applyBorder="1" applyAlignment="1">
      <alignment horizontal="center"/>
    </xf>
    <xf numFmtId="0" fontId="245" fillId="2" borderId="33" xfId="0" applyFont="1" applyFill="1" applyBorder="1" applyAlignment="1">
      <alignment horizontal="center"/>
    </xf>
    <xf numFmtId="0" fontId="238" fillId="2" borderId="29" xfId="0" applyFont="1" applyFill="1" applyBorder="1" applyAlignment="1">
      <alignment horizontal="center" vertical="center"/>
    </xf>
    <xf numFmtId="0" fontId="245" fillId="18" borderId="34" xfId="0" applyFont="1" applyFill="1" applyBorder="1" applyAlignment="1">
      <alignment horizontal="center"/>
    </xf>
    <xf numFmtId="0" fontId="238" fillId="2" borderId="0" xfId="0" quotePrefix="1" applyFont="1" applyFill="1" applyAlignment="1">
      <alignment horizontal="center" vertical="center"/>
    </xf>
    <xf numFmtId="0" fontId="238" fillId="2" borderId="0" xfId="0" applyFont="1" applyFill="1" applyAlignment="1">
      <alignment horizontal="center" vertical="center"/>
    </xf>
    <xf numFmtId="176" fontId="237" fillId="18" borderId="4" xfId="0" applyNumberFormat="1" applyFont="1" applyFill="1" applyBorder="1" applyAlignment="1">
      <alignment horizontal="center"/>
    </xf>
    <xf numFmtId="176" fontId="237" fillId="18" borderId="16" xfId="0" applyNumberFormat="1" applyFont="1" applyFill="1" applyBorder="1" applyAlignment="1">
      <alignment horizontal="center"/>
    </xf>
    <xf numFmtId="0" fontId="242" fillId="2" borderId="16" xfId="0" applyFont="1" applyFill="1" applyBorder="1" applyAlignment="1">
      <alignment horizontal="center"/>
    </xf>
    <xf numFmtId="0" fontId="242" fillId="2" borderId="5" xfId="0" applyFont="1" applyFill="1" applyBorder="1" applyAlignment="1">
      <alignment horizontal="center"/>
    </xf>
    <xf numFmtId="0" fontId="245" fillId="9" borderId="16" xfId="0" applyFont="1" applyFill="1" applyBorder="1" applyAlignment="1">
      <alignment horizontal="left"/>
    </xf>
    <xf numFmtId="0" fontId="245" fillId="9" borderId="5" xfId="0" applyFont="1" applyFill="1" applyBorder="1" applyAlignment="1">
      <alignment horizontal="left"/>
    </xf>
    <xf numFmtId="0" fontId="242" fillId="2" borderId="30" xfId="0" applyFont="1" applyFill="1" applyBorder="1" applyAlignment="1">
      <alignment horizontal="center" vertical="center"/>
    </xf>
    <xf numFmtId="0" fontId="242" fillId="2" borderId="33" xfId="0" applyFont="1" applyFill="1" applyBorder="1" applyAlignment="1">
      <alignment horizontal="center" vertical="center"/>
    </xf>
    <xf numFmtId="0" fontId="238" fillId="2" borderId="28" xfId="0" applyFont="1" applyFill="1" applyBorder="1" applyAlignment="1">
      <alignment horizontal="center" vertical="center"/>
    </xf>
    <xf numFmtId="176" fontId="237" fillId="2" borderId="16" xfId="0" applyNumberFormat="1" applyFont="1" applyFill="1" applyBorder="1" applyAlignment="1">
      <alignment horizontal="center"/>
    </xf>
    <xf numFmtId="44" fontId="238" fillId="2" borderId="28" xfId="3" applyFont="1" applyFill="1" applyBorder="1" applyAlignment="1">
      <alignment horizontal="center" vertical="center"/>
    </xf>
    <xf numFmtId="44" fontId="238" fillId="2" borderId="29" xfId="3" applyFont="1" applyFill="1" applyBorder="1" applyAlignment="1">
      <alignment horizontal="center" vertical="center"/>
    </xf>
    <xf numFmtId="177" fontId="238" fillId="2" borderId="28" xfId="3" applyNumberFormat="1" applyFont="1" applyFill="1" applyBorder="1" applyAlignment="1">
      <alignment horizontal="left" vertical="center"/>
    </xf>
    <xf numFmtId="177" fontId="238" fillId="2" borderId="31" xfId="3" applyNumberFormat="1" applyFont="1" applyFill="1" applyBorder="1" applyAlignment="1">
      <alignment horizontal="left" vertical="center"/>
    </xf>
    <xf numFmtId="177" fontId="238" fillId="2" borderId="29" xfId="3" applyNumberFormat="1" applyFont="1" applyFill="1" applyBorder="1" applyAlignment="1">
      <alignment horizontal="left" vertical="center"/>
    </xf>
    <xf numFmtId="177" fontId="238" fillId="2" borderId="34" xfId="3" applyNumberFormat="1" applyFont="1" applyFill="1" applyBorder="1" applyAlignment="1">
      <alignment horizontal="left" vertical="center"/>
    </xf>
    <xf numFmtId="176" fontId="247" fillId="18" borderId="4" xfId="0" applyNumberFormat="1" applyFont="1" applyFill="1" applyBorder="1" applyAlignment="1">
      <alignment horizontal="center"/>
    </xf>
    <xf numFmtId="176" fontId="247" fillId="18" borderId="16" xfId="0" applyNumberFormat="1" applyFont="1" applyFill="1" applyBorder="1" applyAlignment="1">
      <alignment horizontal="center"/>
    </xf>
    <xf numFmtId="0" fontId="240" fillId="2" borderId="16" xfId="0" applyFont="1" applyFill="1" applyBorder="1" applyAlignment="1">
      <alignment horizontal="center"/>
    </xf>
    <xf numFmtId="0" fontId="240" fillId="2" borderId="5" xfId="0" applyFont="1" applyFill="1" applyBorder="1" applyAlignment="1">
      <alignment horizontal="center"/>
    </xf>
    <xf numFmtId="0" fontId="245" fillId="9" borderId="4" xfId="0" applyFont="1" applyFill="1" applyBorder="1" applyAlignment="1">
      <alignment horizontal="center"/>
    </xf>
    <xf numFmtId="0" fontId="245" fillId="9" borderId="16" xfId="0" applyFont="1" applyFill="1" applyBorder="1" applyAlignment="1">
      <alignment horizontal="center"/>
    </xf>
    <xf numFmtId="176" fontId="247" fillId="9" borderId="16" xfId="0" applyNumberFormat="1" applyFont="1" applyFill="1" applyBorder="1" applyAlignment="1">
      <alignment horizontal="center"/>
    </xf>
    <xf numFmtId="0" fontId="238" fillId="3" borderId="0" xfId="0" applyFont="1" applyFill="1" applyAlignment="1">
      <alignment horizontal="center"/>
    </xf>
    <xf numFmtId="177" fontId="238" fillId="2" borderId="4" xfId="0" applyNumberFormat="1" applyFont="1" applyFill="1" applyBorder="1" applyAlignment="1">
      <alignment horizontal="left"/>
    </xf>
    <xf numFmtId="0" fontId="238" fillId="2" borderId="16" xfId="0" applyFont="1" applyFill="1" applyBorder="1" applyAlignment="1">
      <alignment horizontal="left"/>
    </xf>
    <xf numFmtId="0" fontId="238" fillId="2" borderId="5" xfId="0" applyFont="1" applyFill="1" applyBorder="1" applyAlignment="1">
      <alignment horizontal="left"/>
    </xf>
    <xf numFmtId="177" fontId="238" fillId="2" borderId="0" xfId="0" applyNumberFormat="1" applyFont="1" applyFill="1" applyBorder="1" applyAlignment="1">
      <alignment horizontal="center"/>
    </xf>
    <xf numFmtId="0" fontId="238" fillId="2" borderId="0" xfId="0" applyFont="1" applyFill="1" applyBorder="1" applyAlignment="1">
      <alignment horizontal="center"/>
    </xf>
    <xf numFmtId="0" fontId="245" fillId="2" borderId="34" xfId="0" applyFont="1" applyFill="1" applyBorder="1" applyAlignment="1">
      <alignment horizontal="center"/>
    </xf>
    <xf numFmtId="0" fontId="152" fillId="2" borderId="0" xfId="0" applyFont="1" applyFill="1" applyAlignment="1">
      <alignment horizontal="left" vertical="center"/>
    </xf>
    <xf numFmtId="0" fontId="227" fillId="2" borderId="4" xfId="0" applyFont="1" applyFill="1" applyBorder="1" applyAlignment="1">
      <alignment horizontal="center"/>
    </xf>
    <xf numFmtId="0" fontId="227" fillId="2" borderId="5" xfId="0" applyFont="1" applyFill="1" applyBorder="1" applyAlignment="1">
      <alignment horizontal="center"/>
    </xf>
    <xf numFmtId="0" fontId="229" fillId="2" borderId="4" xfId="0" applyFont="1" applyFill="1" applyBorder="1" applyAlignment="1">
      <alignment horizontal="center"/>
    </xf>
    <xf numFmtId="0" fontId="229" fillId="2" borderId="16" xfId="0" applyFont="1" applyFill="1" applyBorder="1" applyAlignment="1">
      <alignment horizontal="center"/>
    </xf>
    <xf numFmtId="0" fontId="229" fillId="2" borderId="41" xfId="0" applyFont="1" applyFill="1" applyBorder="1" applyAlignment="1">
      <alignment horizontal="center"/>
    </xf>
    <xf numFmtId="176" fontId="233" fillId="18" borderId="23" xfId="0" applyNumberFormat="1" applyFont="1" applyFill="1" applyBorder="1" applyAlignment="1">
      <alignment horizontal="center"/>
    </xf>
    <xf numFmtId="176" fontId="233" fillId="18" borderId="39" xfId="0" applyNumberFormat="1" applyFont="1" applyFill="1" applyBorder="1" applyAlignment="1">
      <alignment horizontal="center"/>
    </xf>
    <xf numFmtId="176" fontId="233" fillId="18" borderId="40" xfId="0" applyNumberFormat="1" applyFont="1" applyFill="1" applyBorder="1" applyAlignment="1">
      <alignment horizontal="center"/>
    </xf>
    <xf numFmtId="0" fontId="232" fillId="2" borderId="16" xfId="0" applyFont="1" applyFill="1" applyBorder="1" applyAlignment="1">
      <alignment horizontal="center"/>
    </xf>
    <xf numFmtId="0" fontId="232" fillId="2" borderId="5" xfId="0" applyFont="1" applyFill="1" applyBorder="1" applyAlignment="1">
      <alignment horizontal="center"/>
    </xf>
    <xf numFmtId="176" fontId="233" fillId="2" borderId="16" xfId="0" applyNumberFormat="1" applyFont="1" applyFill="1" applyBorder="1" applyAlignment="1">
      <alignment horizontal="center"/>
    </xf>
    <xf numFmtId="176" fontId="233" fillId="2" borderId="5" xfId="0" applyNumberFormat="1" applyFont="1" applyFill="1" applyBorder="1" applyAlignment="1">
      <alignment horizontal="center"/>
    </xf>
    <xf numFmtId="0" fontId="232" fillId="2" borderId="4" xfId="0" applyFont="1" applyFill="1" applyBorder="1" applyAlignment="1">
      <alignment horizontal="center"/>
    </xf>
    <xf numFmtId="0" fontId="232" fillId="18" borderId="4" xfId="0" applyFont="1" applyFill="1" applyBorder="1" applyAlignment="1">
      <alignment horizontal="center"/>
    </xf>
    <xf numFmtId="0" fontId="232" fillId="18" borderId="16" xfId="0" applyFont="1" applyFill="1" applyBorder="1" applyAlignment="1">
      <alignment horizontal="center"/>
    </xf>
    <xf numFmtId="0" fontId="232" fillId="18" borderId="41" xfId="0" applyFont="1" applyFill="1" applyBorder="1" applyAlignment="1">
      <alignment horizontal="center"/>
    </xf>
    <xf numFmtId="0" fontId="232" fillId="2" borderId="35" xfId="0" applyFont="1" applyFill="1" applyBorder="1" applyAlignment="1">
      <alignment horizontal="center"/>
    </xf>
    <xf numFmtId="0" fontId="232" fillId="2" borderId="36" xfId="0" applyFont="1" applyFill="1" applyBorder="1" applyAlignment="1">
      <alignment horizontal="center"/>
    </xf>
    <xf numFmtId="0" fontId="232" fillId="2" borderId="37" xfId="0" applyFont="1" applyFill="1" applyBorder="1" applyAlignment="1">
      <alignment horizontal="center"/>
    </xf>
    <xf numFmtId="0" fontId="232" fillId="2" borderId="33" xfId="0" applyFont="1" applyFill="1" applyBorder="1" applyAlignment="1">
      <alignment horizontal="center"/>
    </xf>
    <xf numFmtId="0" fontId="232" fillId="2" borderId="29" xfId="0" applyFont="1" applyFill="1" applyBorder="1" applyAlignment="1">
      <alignment horizontal="center"/>
    </xf>
    <xf numFmtId="0" fontId="152" fillId="2" borderId="0" xfId="0" applyFont="1" applyFill="1" applyBorder="1" applyAlignment="1">
      <alignment horizontal="center" vertical="center"/>
    </xf>
    <xf numFmtId="0" fontId="152" fillId="2" borderId="29" xfId="0" applyFont="1" applyFill="1" applyBorder="1" applyAlignment="1">
      <alignment horizontal="center" vertical="center"/>
    </xf>
    <xf numFmtId="0" fontId="232" fillId="2" borderId="34" xfId="0" applyFont="1" applyFill="1" applyBorder="1" applyAlignment="1">
      <alignment horizontal="center"/>
    </xf>
    <xf numFmtId="0" fontId="152" fillId="2" borderId="27" xfId="0" quotePrefix="1" applyFont="1" applyFill="1" applyBorder="1" applyAlignment="1">
      <alignment horizontal="center" vertical="center"/>
    </xf>
    <xf numFmtId="176" fontId="226" fillId="2" borderId="4" xfId="0" applyNumberFormat="1" applyFont="1" applyFill="1" applyBorder="1" applyAlignment="1">
      <alignment horizontal="center"/>
    </xf>
    <xf numFmtId="176" fontId="226" fillId="2" borderId="16" xfId="0" applyNumberFormat="1" applyFont="1" applyFill="1" applyBorder="1" applyAlignment="1">
      <alignment horizontal="center"/>
    </xf>
    <xf numFmtId="0" fontId="229" fillId="2" borderId="5" xfId="0" applyFont="1" applyFill="1" applyBorder="1" applyAlignment="1">
      <alignment horizontal="center"/>
    </xf>
    <xf numFmtId="0" fontId="232" fillId="9" borderId="4" xfId="0" applyFont="1" applyFill="1" applyBorder="1" applyAlignment="1">
      <alignment horizontal="center"/>
    </xf>
    <xf numFmtId="0" fontId="232" fillId="9" borderId="16" xfId="0" applyFont="1" applyFill="1" applyBorder="1" applyAlignment="1">
      <alignment horizontal="center"/>
    </xf>
    <xf numFmtId="176" fontId="234" fillId="9" borderId="16" xfId="0" applyNumberFormat="1" applyFont="1" applyFill="1" applyBorder="1" applyAlignment="1">
      <alignment horizontal="center"/>
    </xf>
    <xf numFmtId="0" fontId="232" fillId="9" borderId="16" xfId="0" applyFont="1" applyFill="1" applyBorder="1" applyAlignment="1">
      <alignment horizontal="left"/>
    </xf>
    <xf numFmtId="0" fontId="232" fillId="9" borderId="5" xfId="0" applyFont="1" applyFill="1" applyBorder="1" applyAlignment="1">
      <alignment horizontal="left"/>
    </xf>
    <xf numFmtId="0" fontId="229" fillId="2" borderId="30" xfId="0" applyFont="1" applyFill="1" applyBorder="1" applyAlignment="1">
      <alignment horizontal="center" vertical="center"/>
    </xf>
    <xf numFmtId="0" fontId="229" fillId="2" borderId="33" xfId="0" applyFont="1" applyFill="1" applyBorder="1" applyAlignment="1">
      <alignment horizontal="center" vertical="center"/>
    </xf>
    <xf numFmtId="0" fontId="152" fillId="2" borderId="28" xfId="0" applyFont="1" applyFill="1" applyBorder="1" applyAlignment="1">
      <alignment horizontal="center" vertical="center"/>
    </xf>
    <xf numFmtId="44" fontId="152" fillId="2" borderId="28" xfId="3" applyFont="1" applyFill="1" applyBorder="1" applyAlignment="1">
      <alignment horizontal="center" vertical="center"/>
    </xf>
    <xf numFmtId="44" fontId="152" fillId="2" borderId="29" xfId="3" applyFont="1" applyFill="1" applyBorder="1" applyAlignment="1">
      <alignment horizontal="center" vertical="center"/>
    </xf>
    <xf numFmtId="177" fontId="152" fillId="2" borderId="28" xfId="3" applyNumberFormat="1" applyFont="1" applyFill="1" applyBorder="1" applyAlignment="1">
      <alignment horizontal="left" vertical="center"/>
    </xf>
    <xf numFmtId="177" fontId="152" fillId="2" borderId="29" xfId="3" applyNumberFormat="1" applyFont="1" applyFill="1" applyBorder="1" applyAlignment="1">
      <alignment horizontal="left" vertical="center"/>
    </xf>
    <xf numFmtId="178" fontId="152" fillId="2" borderId="4" xfId="0" applyNumberFormat="1" applyFont="1" applyFill="1" applyBorder="1" applyAlignment="1">
      <alignment horizontal="left"/>
    </xf>
    <xf numFmtId="178" fontId="152" fillId="2" borderId="16" xfId="0" applyNumberFormat="1" applyFont="1" applyFill="1" applyBorder="1" applyAlignment="1">
      <alignment horizontal="left"/>
    </xf>
    <xf numFmtId="178" fontId="152" fillId="2" borderId="5" xfId="0" applyNumberFormat="1" applyFont="1" applyFill="1" applyBorder="1" applyAlignment="1">
      <alignment horizontal="left"/>
    </xf>
    <xf numFmtId="177" fontId="233" fillId="2" borderId="29" xfId="0" applyNumberFormat="1" applyFont="1" applyFill="1" applyBorder="1" applyAlignment="1">
      <alignment horizontal="center"/>
    </xf>
    <xf numFmtId="178" fontId="233" fillId="2" borderId="28" xfId="0" applyNumberFormat="1" applyFont="1" applyFill="1" applyBorder="1" applyAlignment="1">
      <alignment horizontal="left"/>
    </xf>
    <xf numFmtId="178" fontId="233" fillId="2" borderId="31" xfId="0" applyNumberFormat="1" applyFont="1" applyFill="1" applyBorder="1" applyAlignment="1">
      <alignment horizontal="left"/>
    </xf>
    <xf numFmtId="0" fontId="233" fillId="2" borderId="28" xfId="0" applyFont="1" applyFill="1" applyBorder="1" applyAlignment="1">
      <alignment horizontal="center"/>
    </xf>
    <xf numFmtId="177" fontId="152" fillId="2" borderId="31" xfId="3" applyNumberFormat="1" applyFont="1" applyFill="1" applyBorder="1" applyAlignment="1">
      <alignment horizontal="left" vertical="center"/>
    </xf>
    <xf numFmtId="177" fontId="152" fillId="2" borderId="34" xfId="3" applyNumberFormat="1" applyFont="1" applyFill="1" applyBorder="1" applyAlignment="1">
      <alignment horizontal="left" vertical="center"/>
    </xf>
    <xf numFmtId="0" fontId="152" fillId="2" borderId="29" xfId="0" applyFont="1" applyFill="1" applyBorder="1" applyAlignment="1">
      <alignment horizontal="center"/>
    </xf>
    <xf numFmtId="176" fontId="152" fillId="2" borderId="16" xfId="0" applyNumberFormat="1" applyFont="1" applyFill="1" applyBorder="1" applyAlignment="1">
      <alignment horizontal="center"/>
    </xf>
    <xf numFmtId="0" fontId="152" fillId="2" borderId="0" xfId="0" quotePrefix="1" applyFont="1" applyFill="1" applyAlignment="1">
      <alignment horizontal="center" vertical="center"/>
    </xf>
    <xf numFmtId="0" fontId="152" fillId="2" borderId="0" xfId="0" applyFont="1" applyFill="1" applyAlignment="1">
      <alignment horizontal="center" vertical="center"/>
    </xf>
    <xf numFmtId="176" fontId="234" fillId="18" borderId="4" xfId="0" applyNumberFormat="1" applyFont="1" applyFill="1" applyBorder="1" applyAlignment="1">
      <alignment horizontal="center"/>
    </xf>
    <xf numFmtId="176" fontId="234" fillId="18" borderId="16" xfId="0" applyNumberFormat="1" applyFont="1" applyFill="1" applyBorder="1" applyAlignment="1">
      <alignment horizontal="center"/>
    </xf>
    <xf numFmtId="0" fontId="232" fillId="18" borderId="29" xfId="0" applyFont="1" applyFill="1" applyBorder="1" applyAlignment="1">
      <alignment horizontal="center"/>
    </xf>
    <xf numFmtId="0" fontId="232" fillId="18" borderId="34" xfId="0" applyFont="1" applyFill="1" applyBorder="1" applyAlignment="1">
      <alignment horizontal="center"/>
    </xf>
    <xf numFmtId="0" fontId="227" fillId="2" borderId="6" xfId="0" applyFont="1" applyFill="1" applyBorder="1" applyAlignment="1">
      <alignment horizontal="center"/>
    </xf>
    <xf numFmtId="0" fontId="229" fillId="2" borderId="6" xfId="0" applyFont="1" applyFill="1" applyBorder="1" applyAlignment="1">
      <alignment horizontal="center"/>
    </xf>
    <xf numFmtId="176" fontId="234" fillId="18" borderId="28" xfId="0" applyNumberFormat="1" applyFont="1" applyFill="1" applyBorder="1" applyAlignment="1">
      <alignment horizontal="center"/>
    </xf>
    <xf numFmtId="0" fontId="229" fillId="2" borderId="28" xfId="0" applyFont="1" applyFill="1" applyBorder="1" applyAlignment="1">
      <alignment horizontal="center"/>
    </xf>
    <xf numFmtId="177" fontId="152" fillId="2" borderId="0" xfId="0" applyNumberFormat="1" applyFont="1" applyFill="1" applyBorder="1" applyAlignment="1">
      <alignment horizontal="center"/>
    </xf>
    <xf numFmtId="176" fontId="234" fillId="18" borderId="26" xfId="0" applyNumberFormat="1" applyFont="1" applyFill="1" applyBorder="1" applyAlignment="1">
      <alignment horizontal="center"/>
    </xf>
    <xf numFmtId="176" fontId="234" fillId="18" borderId="24" xfId="0" applyNumberFormat="1" applyFont="1" applyFill="1" applyBorder="1" applyAlignment="1">
      <alignment horizontal="center"/>
    </xf>
    <xf numFmtId="176" fontId="234" fillId="18" borderId="25" xfId="0" applyNumberFormat="1" applyFont="1" applyFill="1" applyBorder="1" applyAlignment="1">
      <alignment horizontal="center"/>
    </xf>
    <xf numFmtId="176" fontId="234" fillId="18" borderId="38" xfId="0" applyNumberFormat="1" applyFont="1" applyFill="1" applyBorder="1" applyAlignment="1">
      <alignment horizontal="center"/>
    </xf>
    <xf numFmtId="0" fontId="227" fillId="2" borderId="16" xfId="0" applyFont="1" applyFill="1" applyBorder="1" applyAlignment="1">
      <alignment horizontal="center"/>
    </xf>
    <xf numFmtId="177" fontId="152" fillId="2" borderId="4" xfId="0" applyNumberFormat="1" applyFont="1" applyFill="1" applyBorder="1" applyAlignment="1">
      <alignment horizontal="left"/>
    </xf>
    <xf numFmtId="0" fontId="152" fillId="2" borderId="16" xfId="0" applyFont="1" applyFill="1" applyBorder="1" applyAlignment="1">
      <alignment horizontal="left"/>
    </xf>
    <xf numFmtId="0" fontId="152" fillId="2" borderId="5" xfId="0" applyFont="1" applyFill="1" applyBorder="1" applyAlignment="1">
      <alignment horizontal="left"/>
    </xf>
    <xf numFmtId="0" fontId="158" fillId="18" borderId="2" xfId="0" applyFont="1" applyFill="1" applyBorder="1" applyAlignment="1">
      <alignment horizontal="right"/>
    </xf>
    <xf numFmtId="0" fontId="158" fillId="18" borderId="3" xfId="0" applyFont="1" applyFill="1" applyBorder="1" applyAlignment="1">
      <alignment horizontal="right"/>
    </xf>
    <xf numFmtId="0" fontId="153" fillId="2" borderId="0" xfId="0" applyFont="1" applyFill="1" applyBorder="1" applyAlignment="1">
      <alignment horizontal="center"/>
    </xf>
    <xf numFmtId="0" fontId="155" fillId="18" borderId="2" xfId="0" applyFont="1" applyFill="1" applyBorder="1" applyAlignment="1">
      <alignment horizontal="right"/>
    </xf>
    <xf numFmtId="0" fontId="155" fillId="18" borderId="3" xfId="0" applyFont="1" applyFill="1" applyBorder="1" applyAlignment="1">
      <alignment horizontal="right"/>
    </xf>
    <xf numFmtId="0" fontId="160" fillId="2" borderId="0" xfId="0" applyFont="1" applyFill="1" applyBorder="1" applyAlignment="1">
      <alignment horizontal="left" vertical="center"/>
    </xf>
    <xf numFmtId="0" fontId="160" fillId="2" borderId="0" xfId="0" applyFont="1" applyFill="1" applyBorder="1" applyAlignment="1">
      <alignment horizontal="center"/>
    </xf>
    <xf numFmtId="0" fontId="153" fillId="2" borderId="29" xfId="0" applyFont="1" applyFill="1" applyBorder="1" applyAlignment="1">
      <alignment horizontal="center"/>
    </xf>
    <xf numFmtId="0" fontId="159" fillId="2" borderId="0" xfId="0" applyFont="1" applyFill="1" applyBorder="1" applyAlignment="1">
      <alignment horizontal="center"/>
    </xf>
    <xf numFmtId="0" fontId="159" fillId="2" borderId="12" xfId="0" applyFont="1" applyFill="1" applyBorder="1" applyAlignment="1">
      <alignment horizontal="center"/>
    </xf>
    <xf numFmtId="0" fontId="153" fillId="9" borderId="10" xfId="0" applyFont="1" applyFill="1" applyBorder="1" applyAlignment="1">
      <alignment horizontal="center" vertical="center"/>
    </xf>
    <xf numFmtId="0" fontId="153" fillId="9" borderId="12" xfId="0" applyFont="1" applyFill="1" applyBorder="1" applyAlignment="1">
      <alignment horizontal="center" vertical="center"/>
    </xf>
    <xf numFmtId="0" fontId="153" fillId="9" borderId="10" xfId="0" quotePrefix="1" applyFont="1" applyFill="1" applyBorder="1" applyAlignment="1">
      <alignment horizontal="left" vertical="center"/>
    </xf>
    <xf numFmtId="0" fontId="153" fillId="9" borderId="12" xfId="0" applyFont="1" applyFill="1" applyBorder="1" applyAlignment="1">
      <alignment horizontal="left" vertical="center"/>
    </xf>
    <xf numFmtId="0" fontId="160" fillId="9" borderId="10" xfId="0" applyFont="1" applyFill="1" applyBorder="1" applyAlignment="1">
      <alignment horizontal="left" vertical="center"/>
    </xf>
    <xf numFmtId="0" fontId="160" fillId="9" borderId="12" xfId="0" applyFont="1" applyFill="1" applyBorder="1" applyAlignment="1">
      <alignment horizontal="left" vertical="center"/>
    </xf>
    <xf numFmtId="0" fontId="160" fillId="9" borderId="36" xfId="0" quotePrefix="1" applyFont="1" applyFill="1" applyBorder="1" applyAlignment="1">
      <alignment horizontal="center" vertical="center"/>
    </xf>
    <xf numFmtId="0" fontId="160" fillId="9" borderId="10" xfId="0" applyFont="1" applyFill="1" applyBorder="1" applyAlignment="1">
      <alignment horizontal="center" vertical="center"/>
    </xf>
    <xf numFmtId="0" fontId="160" fillId="9" borderId="12" xfId="0" quotePrefix="1" applyFont="1" applyFill="1" applyBorder="1" applyAlignment="1">
      <alignment horizontal="center" vertical="center"/>
    </xf>
    <xf numFmtId="0" fontId="160" fillId="9" borderId="10" xfId="0" applyFont="1" applyFill="1" applyBorder="1" applyAlignment="1">
      <alignment vertical="center"/>
    </xf>
    <xf numFmtId="0" fontId="160" fillId="9" borderId="12" xfId="0" applyFont="1" applyFill="1" applyBorder="1" applyAlignment="1">
      <alignment vertical="center"/>
    </xf>
    <xf numFmtId="183" fontId="160" fillId="9" borderId="14" xfId="0" applyNumberFormat="1" applyFont="1" applyFill="1" applyBorder="1" applyAlignment="1">
      <alignment horizontal="left" vertical="center"/>
    </xf>
    <xf numFmtId="183" fontId="160" fillId="9" borderId="17" xfId="0" applyNumberFormat="1" applyFont="1" applyFill="1" applyBorder="1" applyAlignment="1">
      <alignment horizontal="left" vertical="center"/>
    </xf>
    <xf numFmtId="0" fontId="153" fillId="9" borderId="39" xfId="0" applyFont="1" applyFill="1" applyBorder="1" applyAlignment="1">
      <alignment horizontal="center" vertical="center"/>
    </xf>
    <xf numFmtId="0" fontId="160" fillId="9" borderId="39" xfId="0" quotePrefix="1" applyFont="1" applyFill="1" applyBorder="1" applyAlignment="1">
      <alignment horizontal="center" vertical="center"/>
    </xf>
    <xf numFmtId="0" fontId="159" fillId="9" borderId="10" xfId="0" applyFont="1" applyFill="1" applyBorder="1" applyAlignment="1">
      <alignment vertical="center"/>
    </xf>
    <xf numFmtId="0" fontId="159" fillId="9" borderId="12" xfId="0" applyFont="1" applyFill="1" applyBorder="1" applyAlignment="1">
      <alignment vertical="center"/>
    </xf>
    <xf numFmtId="183" fontId="159" fillId="9" borderId="14" xfId="0" applyNumberFormat="1" applyFont="1" applyFill="1" applyBorder="1" applyAlignment="1">
      <alignment horizontal="left" vertical="center"/>
    </xf>
    <xf numFmtId="183" fontId="159" fillId="9" borderId="17" xfId="0" applyNumberFormat="1" applyFont="1" applyFill="1" applyBorder="1" applyAlignment="1">
      <alignment horizontal="left" vertical="center"/>
    </xf>
    <xf numFmtId="0" fontId="159" fillId="9" borderId="39" xfId="0" quotePrefix="1" applyFont="1" applyFill="1" applyBorder="1" applyAlignment="1">
      <alignment horizontal="center" vertical="center"/>
    </xf>
    <xf numFmtId="0" fontId="159" fillId="9" borderId="10" xfId="0" applyFont="1" applyFill="1" applyBorder="1" applyAlignment="1">
      <alignment horizontal="left" vertical="center"/>
    </xf>
    <xf numFmtId="0" fontId="159" fillId="9" borderId="12" xfId="0" applyFont="1" applyFill="1" applyBorder="1" applyAlignment="1">
      <alignment horizontal="left" vertical="center"/>
    </xf>
    <xf numFmtId="0" fontId="159" fillId="9" borderId="36" xfId="0" quotePrefix="1" applyFont="1" applyFill="1" applyBorder="1" applyAlignment="1">
      <alignment horizontal="center" vertical="center"/>
    </xf>
    <xf numFmtId="0" fontId="159" fillId="9" borderId="10" xfId="0" applyFont="1" applyFill="1" applyBorder="1" applyAlignment="1">
      <alignment horizontal="center" vertical="center"/>
    </xf>
    <xf numFmtId="0" fontId="159" fillId="9" borderId="12" xfId="0" quotePrefix="1" applyFont="1" applyFill="1" applyBorder="1" applyAlignment="1">
      <alignment horizontal="center" vertical="center"/>
    </xf>
    <xf numFmtId="0" fontId="159" fillId="18" borderId="2" xfId="0" applyFont="1" applyFill="1" applyBorder="1" applyAlignment="1">
      <alignment horizontal="right"/>
    </xf>
    <xf numFmtId="0" fontId="159" fillId="18" borderId="3" xfId="0" applyFont="1" applyFill="1" applyBorder="1" applyAlignment="1">
      <alignment horizontal="right"/>
    </xf>
    <xf numFmtId="0" fontId="159" fillId="2" borderId="0" xfId="0" applyFont="1" applyFill="1" applyBorder="1" applyAlignment="1">
      <alignment horizontal="right"/>
    </xf>
    <xf numFmtId="0" fontId="159" fillId="2" borderId="12" xfId="0" applyFont="1" applyFill="1" applyBorder="1" applyAlignment="1">
      <alignment horizontal="right"/>
    </xf>
    <xf numFmtId="0" fontId="153" fillId="9" borderId="0" xfId="0" applyFont="1" applyFill="1" applyBorder="1" applyAlignment="1">
      <alignment horizontal="center" vertical="center"/>
    </xf>
    <xf numFmtId="0" fontId="153" fillId="9" borderId="0" xfId="0" applyFont="1" applyFill="1" applyBorder="1" applyAlignment="1">
      <alignment horizontal="left" vertical="center"/>
    </xf>
    <xf numFmtId="0" fontId="160" fillId="9" borderId="0" xfId="0" applyFont="1" applyFill="1" applyBorder="1" applyAlignment="1">
      <alignment horizontal="left" vertical="center"/>
    </xf>
    <xf numFmtId="0" fontId="160" fillId="9" borderId="0" xfId="0" quotePrefix="1" applyFont="1" applyFill="1" applyBorder="1" applyAlignment="1">
      <alignment horizontal="center" vertical="center"/>
    </xf>
    <xf numFmtId="0" fontId="160" fillId="9" borderId="0" xfId="0" applyFont="1" applyFill="1" applyBorder="1" applyAlignment="1">
      <alignment vertical="center"/>
    </xf>
    <xf numFmtId="183" fontId="160" fillId="9" borderId="21" xfId="0" applyNumberFormat="1" applyFont="1" applyFill="1" applyBorder="1" applyAlignment="1">
      <alignment horizontal="left" vertical="center"/>
    </xf>
    <xf numFmtId="0" fontId="153" fillId="9" borderId="28" xfId="0" applyFont="1" applyFill="1" applyBorder="1" applyAlignment="1">
      <alignment horizontal="center" vertical="center"/>
    </xf>
    <xf numFmtId="0" fontId="153" fillId="9" borderId="43" xfId="0" applyFont="1" applyFill="1" applyBorder="1" applyAlignment="1">
      <alignment horizontal="center" vertical="center"/>
    </xf>
    <xf numFmtId="0" fontId="160" fillId="9" borderId="28" xfId="0" quotePrefix="1" applyFont="1" applyFill="1" applyBorder="1" applyAlignment="1">
      <alignment horizontal="center" vertical="center"/>
    </xf>
    <xf numFmtId="0" fontId="153" fillId="9" borderId="10" xfId="0" applyFont="1" applyFill="1" applyBorder="1" applyAlignment="1">
      <alignment horizontal="left" vertical="center"/>
    </xf>
    <xf numFmtId="0" fontId="153" fillId="9" borderId="10" xfId="0" applyFont="1" applyFill="1" applyBorder="1" applyAlignment="1">
      <alignment vertical="center"/>
    </xf>
    <xf numFmtId="0" fontId="153" fillId="9" borderId="12" xfId="0" applyFont="1" applyFill="1" applyBorder="1" applyAlignment="1">
      <alignment vertical="center"/>
    </xf>
    <xf numFmtId="183" fontId="153" fillId="9" borderId="14" xfId="0" applyNumberFormat="1" applyFont="1" applyFill="1" applyBorder="1" applyAlignment="1">
      <alignment horizontal="left" vertical="center"/>
    </xf>
    <xf numFmtId="183" fontId="153" fillId="9" borderId="17" xfId="0" applyNumberFormat="1" applyFont="1" applyFill="1" applyBorder="1" applyAlignment="1">
      <alignment horizontal="left" vertical="center"/>
    </xf>
    <xf numFmtId="0" fontId="153" fillId="9" borderId="17" xfId="0" applyFont="1" applyFill="1" applyBorder="1" applyAlignment="1">
      <alignment horizontal="center" vertical="center"/>
    </xf>
    <xf numFmtId="0" fontId="153" fillId="9" borderId="10" xfId="0" quotePrefix="1" applyFont="1" applyFill="1" applyBorder="1" applyAlignment="1">
      <alignment horizontal="right" vertical="center"/>
    </xf>
    <xf numFmtId="0" fontId="153" fillId="9" borderId="12" xfId="0" quotePrefix="1" applyFont="1" applyFill="1" applyBorder="1" applyAlignment="1">
      <alignment horizontal="right" vertical="center"/>
    </xf>
    <xf numFmtId="182" fontId="166" fillId="9" borderId="10" xfId="0" applyNumberFormat="1" applyFont="1" applyFill="1" applyBorder="1" applyAlignment="1">
      <alignment horizontal="left" vertical="center"/>
    </xf>
    <xf numFmtId="182" fontId="166" fillId="9" borderId="12" xfId="0" applyNumberFormat="1" applyFont="1" applyFill="1" applyBorder="1" applyAlignment="1">
      <alignment horizontal="left" vertical="center"/>
    </xf>
    <xf numFmtId="0" fontId="172" fillId="18" borderId="2" xfId="0" applyFont="1" applyFill="1" applyBorder="1" applyAlignment="1">
      <alignment horizontal="right"/>
    </xf>
    <xf numFmtId="0" fontId="172" fillId="18" borderId="3" xfId="0" applyFont="1" applyFill="1" applyBorder="1" applyAlignment="1">
      <alignment horizontal="right"/>
    </xf>
    <xf numFmtId="0" fontId="166" fillId="2" borderId="0" xfId="0" applyFont="1" applyFill="1" applyBorder="1" applyAlignment="1">
      <alignment horizontal="center"/>
    </xf>
    <xf numFmtId="0" fontId="161" fillId="18" borderId="2" xfId="0" applyFont="1" applyFill="1" applyBorder="1" applyAlignment="1">
      <alignment horizontal="right"/>
    </xf>
    <xf numFmtId="0" fontId="161" fillId="18" borderId="3" xfId="0" applyFont="1" applyFill="1" applyBorder="1" applyAlignment="1">
      <alignment horizontal="right"/>
    </xf>
    <xf numFmtId="0" fontId="161" fillId="2" borderId="0" xfId="0" applyFont="1" applyFill="1" applyBorder="1" applyAlignment="1">
      <alignment horizontal="left" vertical="center"/>
    </xf>
    <xf numFmtId="0" fontId="161" fillId="2" borderId="0" xfId="0" applyFont="1" applyFill="1" applyBorder="1" applyAlignment="1">
      <alignment horizontal="center"/>
    </xf>
    <xf numFmtId="0" fontId="166" fillId="2" borderId="29" xfId="0" applyFont="1" applyFill="1" applyBorder="1" applyAlignment="1">
      <alignment horizontal="center"/>
    </xf>
    <xf numFmtId="0" fontId="177" fillId="2" borderId="0" xfId="0" applyFont="1" applyFill="1" applyBorder="1" applyAlignment="1">
      <alignment horizontal="center"/>
    </xf>
    <xf numFmtId="0" fontId="177" fillId="2" borderId="12" xfId="0" applyFont="1" applyFill="1" applyBorder="1" applyAlignment="1">
      <alignment horizontal="center"/>
    </xf>
    <xf numFmtId="0" fontId="166" fillId="9" borderId="10" xfId="0" applyFont="1" applyFill="1" applyBorder="1" applyAlignment="1">
      <alignment horizontal="center" vertical="center"/>
    </xf>
    <xf numFmtId="0" fontId="166" fillId="9" borderId="12" xfId="0" applyFont="1" applyFill="1" applyBorder="1" applyAlignment="1">
      <alignment horizontal="center" vertical="center"/>
    </xf>
    <xf numFmtId="0" fontId="166" fillId="9" borderId="10" xfId="0" quotePrefix="1" applyFont="1" applyFill="1" applyBorder="1" applyAlignment="1">
      <alignment horizontal="left" vertical="center"/>
    </xf>
    <xf numFmtId="0" fontId="166" fillId="9" borderId="12" xfId="0" applyFont="1" applyFill="1" applyBorder="1" applyAlignment="1">
      <alignment horizontal="left" vertical="center"/>
    </xf>
    <xf numFmtId="0" fontId="193" fillId="9" borderId="10" xfId="0" applyFont="1" applyFill="1" applyBorder="1" applyAlignment="1">
      <alignment horizontal="left" vertical="center"/>
    </xf>
    <xf numFmtId="0" fontId="193" fillId="9" borderId="12" xfId="0" applyFont="1" applyFill="1" applyBorder="1" applyAlignment="1">
      <alignment horizontal="left" vertical="center"/>
    </xf>
    <xf numFmtId="0" fontId="166" fillId="9" borderId="39" xfId="0" applyFont="1" applyFill="1" applyBorder="1" applyAlignment="1">
      <alignment horizontal="center" vertical="center"/>
    </xf>
    <xf numFmtId="0" fontId="166" fillId="9" borderId="40" xfId="0" applyFont="1" applyFill="1" applyBorder="1" applyAlignment="1">
      <alignment horizontal="center" vertical="center"/>
    </xf>
    <xf numFmtId="0" fontId="175" fillId="9" borderId="10" xfId="0" applyFont="1" applyFill="1" applyBorder="1" applyAlignment="1">
      <alignment horizontal="center" vertical="center"/>
    </xf>
    <xf numFmtId="0" fontId="175" fillId="9" borderId="12" xfId="0" applyFont="1" applyFill="1" applyBorder="1" applyAlignment="1">
      <alignment horizontal="center" vertical="center"/>
    </xf>
    <xf numFmtId="0" fontId="175" fillId="9" borderId="10" xfId="0" quotePrefix="1" applyFont="1" applyFill="1" applyBorder="1" applyAlignment="1">
      <alignment horizontal="left" vertical="center"/>
    </xf>
    <xf numFmtId="0" fontId="175" fillId="9" borderId="12" xfId="0" applyFont="1" applyFill="1" applyBorder="1" applyAlignment="1">
      <alignment horizontal="left" vertical="center"/>
    </xf>
    <xf numFmtId="0" fontId="196" fillId="9" borderId="10" xfId="0" applyFont="1" applyFill="1" applyBorder="1" applyAlignment="1">
      <alignment horizontal="left" vertical="center"/>
    </xf>
    <xf numFmtId="0" fontId="196" fillId="9" borderId="12" xfId="0" applyFont="1" applyFill="1" applyBorder="1" applyAlignment="1">
      <alignment horizontal="left" vertical="center"/>
    </xf>
    <xf numFmtId="0" fontId="196" fillId="9" borderId="10" xfId="0" applyFont="1" applyFill="1" applyBorder="1" applyAlignment="1">
      <alignment horizontal="center" vertical="center"/>
    </xf>
    <xf numFmtId="0" fontId="196" fillId="9" borderId="12" xfId="0" quotePrefix="1" applyFont="1" applyFill="1" applyBorder="1" applyAlignment="1">
      <alignment horizontal="center" vertical="center"/>
    </xf>
    <xf numFmtId="0" fontId="175" fillId="9" borderId="39" xfId="0" applyFont="1" applyFill="1" applyBorder="1" applyAlignment="1">
      <alignment horizontal="center" vertical="center"/>
    </xf>
    <xf numFmtId="0" fontId="193" fillId="9" borderId="28" xfId="0" quotePrefix="1" applyFont="1" applyFill="1" applyBorder="1" applyAlignment="1">
      <alignment horizontal="left" vertical="center"/>
    </xf>
    <xf numFmtId="0" fontId="193" fillId="9" borderId="12" xfId="0" quotePrefix="1" applyFont="1" applyFill="1" applyBorder="1" applyAlignment="1">
      <alignment horizontal="left" vertical="center"/>
    </xf>
    <xf numFmtId="0" fontId="196" fillId="9" borderId="28" xfId="0" quotePrefix="1" applyFont="1" applyFill="1" applyBorder="1" applyAlignment="1">
      <alignment horizontal="left" vertical="center"/>
    </xf>
    <xf numFmtId="0" fontId="196" fillId="9" borderId="12" xfId="0" quotePrefix="1" applyFont="1" applyFill="1" applyBorder="1" applyAlignment="1">
      <alignment horizontal="left" vertical="center"/>
    </xf>
    <xf numFmtId="0" fontId="196" fillId="9" borderId="10" xfId="0" applyFont="1" applyFill="1" applyBorder="1" applyAlignment="1">
      <alignment vertical="center"/>
    </xf>
    <xf numFmtId="0" fontId="196" fillId="9" borderId="12" xfId="0" applyFont="1" applyFill="1" applyBorder="1" applyAlignment="1">
      <alignment vertical="center"/>
    </xf>
    <xf numFmtId="0" fontId="196" fillId="9" borderId="14" xfId="0" applyFont="1" applyFill="1" applyBorder="1" applyAlignment="1">
      <alignment horizontal="left" vertical="center"/>
    </xf>
    <xf numFmtId="0" fontId="196" fillId="9" borderId="17" xfId="0" applyFont="1" applyFill="1" applyBorder="1" applyAlignment="1">
      <alignment horizontal="left" vertical="center"/>
    </xf>
    <xf numFmtId="0" fontId="193" fillId="9" borderId="10" xfId="0" applyFont="1" applyFill="1" applyBorder="1" applyAlignment="1">
      <alignment horizontal="center" vertical="center"/>
    </xf>
    <xf numFmtId="0" fontId="193" fillId="9" borderId="12" xfId="0" quotePrefix="1" applyFont="1" applyFill="1" applyBorder="1" applyAlignment="1">
      <alignment horizontal="center" vertical="center"/>
    </xf>
    <xf numFmtId="0" fontId="198" fillId="18" borderId="2" xfId="0" applyFont="1" applyFill="1" applyBorder="1" applyAlignment="1">
      <alignment horizontal="right"/>
    </xf>
    <xf numFmtId="0" fontId="198" fillId="18" borderId="3" xfId="0" applyFont="1" applyFill="1" applyBorder="1" applyAlignment="1">
      <alignment horizontal="right"/>
    </xf>
    <xf numFmtId="0" fontId="175" fillId="2" borderId="0" xfId="0" applyFont="1" applyFill="1" applyBorder="1" applyAlignment="1">
      <alignment horizontal="center"/>
    </xf>
    <xf numFmtId="0" fontId="176" fillId="18" borderId="2" xfId="0" applyFont="1" applyFill="1" applyBorder="1" applyAlignment="1">
      <alignment horizontal="right"/>
    </xf>
    <xf numFmtId="0" fontId="176" fillId="18" borderId="3" xfId="0" applyFont="1" applyFill="1" applyBorder="1" applyAlignment="1">
      <alignment horizontal="right"/>
    </xf>
    <xf numFmtId="0" fontId="200" fillId="2" borderId="0" xfId="0" applyFont="1" applyFill="1" applyBorder="1" applyAlignment="1">
      <alignment horizontal="left" vertical="center"/>
    </xf>
    <xf numFmtId="0" fontId="200" fillId="2" borderId="0" xfId="0" applyFont="1" applyFill="1" applyBorder="1" applyAlignment="1">
      <alignment horizontal="center"/>
    </xf>
    <xf numFmtId="0" fontId="175" fillId="2" borderId="29" xfId="0" applyFont="1" applyFill="1" applyBorder="1" applyAlignment="1">
      <alignment horizontal="center"/>
    </xf>
    <xf numFmtId="0" fontId="196" fillId="2" borderId="0" xfId="0" applyFont="1" applyFill="1" applyBorder="1" applyAlignment="1">
      <alignment horizontal="center"/>
    </xf>
    <xf numFmtId="0" fontId="196" fillId="2" borderId="12" xfId="0" applyFont="1" applyFill="1" applyBorder="1" applyAlignment="1">
      <alignment horizontal="center"/>
    </xf>
    <xf numFmtId="0" fontId="200" fillId="9" borderId="10" xfId="0" applyFont="1" applyFill="1" applyBorder="1" applyAlignment="1">
      <alignment horizontal="left" vertical="center"/>
    </xf>
    <xf numFmtId="0" fontId="200" fillId="9" borderId="12" xfId="0" applyFont="1" applyFill="1" applyBorder="1" applyAlignment="1">
      <alignment horizontal="left" vertical="center"/>
    </xf>
    <xf numFmtId="0" fontId="200" fillId="9" borderId="36" xfId="0" quotePrefix="1" applyFont="1" applyFill="1" applyBorder="1" applyAlignment="1">
      <alignment horizontal="center" vertical="center"/>
    </xf>
    <xf numFmtId="0" fontId="200" fillId="9" borderId="10" xfId="0" applyFont="1" applyFill="1" applyBorder="1" applyAlignment="1">
      <alignment horizontal="center" vertical="center"/>
    </xf>
    <xf numFmtId="0" fontId="200" fillId="9" borderId="12" xfId="0" quotePrefix="1" applyFont="1" applyFill="1" applyBorder="1" applyAlignment="1">
      <alignment horizontal="center" vertical="center"/>
    </xf>
    <xf numFmtId="0" fontId="200" fillId="9" borderId="10" xfId="0" applyFont="1" applyFill="1" applyBorder="1" applyAlignment="1">
      <alignment vertical="center"/>
    </xf>
    <xf numFmtId="0" fontId="200" fillId="9" borderId="12" xfId="0" applyFont="1" applyFill="1" applyBorder="1" applyAlignment="1">
      <alignment vertical="center"/>
    </xf>
    <xf numFmtId="183" fontId="200" fillId="9" borderId="14" xfId="0" applyNumberFormat="1" applyFont="1" applyFill="1" applyBorder="1" applyAlignment="1">
      <alignment horizontal="left" vertical="center"/>
    </xf>
    <xf numFmtId="183" fontId="200" fillId="9" borderId="17" xfId="0" applyNumberFormat="1" applyFont="1" applyFill="1" applyBorder="1" applyAlignment="1">
      <alignment horizontal="left" vertical="center"/>
    </xf>
    <xf numFmtId="0" fontId="200" fillId="9" borderId="39" xfId="0" quotePrefix="1" applyFont="1" applyFill="1" applyBorder="1" applyAlignment="1">
      <alignment horizontal="center" vertical="center"/>
    </xf>
    <xf numFmtId="183" fontId="196" fillId="9" borderId="14" xfId="0" applyNumberFormat="1" applyFont="1" applyFill="1" applyBorder="1" applyAlignment="1">
      <alignment horizontal="left" vertical="center"/>
    </xf>
    <xf numFmtId="183" fontId="196" fillId="9" borderId="17" xfId="0" applyNumberFormat="1" applyFont="1" applyFill="1" applyBorder="1" applyAlignment="1">
      <alignment horizontal="left" vertical="center"/>
    </xf>
    <xf numFmtId="0" fontId="196" fillId="9" borderId="39" xfId="0" quotePrefix="1" applyFont="1" applyFill="1" applyBorder="1" applyAlignment="1">
      <alignment horizontal="center" vertical="center"/>
    </xf>
    <xf numFmtId="0" fontId="196" fillId="9" borderId="36" xfId="0" quotePrefix="1" applyFont="1" applyFill="1" applyBorder="1" applyAlignment="1">
      <alignment horizontal="center" vertical="center"/>
    </xf>
    <xf numFmtId="0" fontId="175" fillId="2" borderId="0" xfId="0" applyFont="1" applyFill="1" applyAlignment="1">
      <alignment horizontal="center"/>
    </xf>
    <xf numFmtId="0" fontId="198" fillId="2" borderId="0" xfId="0" applyFont="1" applyFill="1" applyBorder="1" applyAlignment="1">
      <alignment horizontal="center"/>
    </xf>
    <xf numFmtId="0" fontId="198" fillId="2" borderId="28" xfId="0" applyFont="1" applyFill="1" applyBorder="1" applyAlignment="1">
      <alignment horizontal="center" vertical="top"/>
    </xf>
    <xf numFmtId="0" fontId="198" fillId="2" borderId="0" xfId="0" applyFont="1" applyFill="1" applyBorder="1" applyAlignment="1">
      <alignment horizontal="center" vertical="top"/>
    </xf>
    <xf numFmtId="0" fontId="175" fillId="9" borderId="10" xfId="0" applyFont="1" applyFill="1" applyBorder="1" applyAlignment="1">
      <alignment horizontal="center"/>
    </xf>
    <xf numFmtId="0" fontId="175" fillId="9" borderId="0" xfId="0" applyFont="1" applyFill="1" applyBorder="1" applyAlignment="1">
      <alignment horizontal="center"/>
    </xf>
    <xf numFmtId="0" fontId="200" fillId="9" borderId="10" xfId="0" applyFont="1" applyFill="1" applyBorder="1" applyAlignment="1">
      <alignment horizontal="center"/>
    </xf>
    <xf numFmtId="0" fontId="200" fillId="9" borderId="0" xfId="0" applyFont="1" applyFill="1" applyBorder="1" applyAlignment="1">
      <alignment horizontal="center"/>
    </xf>
    <xf numFmtId="0" fontId="175" fillId="9" borderId="12" xfId="0" applyFont="1" applyFill="1" applyBorder="1" applyAlignment="1">
      <alignment horizontal="center"/>
    </xf>
    <xf numFmtId="0" fontId="196" fillId="18" borderId="2" xfId="0" applyFont="1" applyFill="1" applyBorder="1" applyAlignment="1">
      <alignment horizontal="right"/>
    </xf>
    <xf numFmtId="0" fontId="196" fillId="18" borderId="3" xfId="0" applyFont="1" applyFill="1" applyBorder="1" applyAlignment="1">
      <alignment horizontal="right"/>
    </xf>
    <xf numFmtId="0" fontId="202" fillId="9" borderId="10" xfId="0" applyFont="1" applyFill="1" applyBorder="1" applyAlignment="1">
      <alignment horizontal="left"/>
    </xf>
    <xf numFmtId="0" fontId="202" fillId="9" borderId="12" xfId="0" applyFont="1" applyFill="1" applyBorder="1" applyAlignment="1">
      <alignment horizontal="left"/>
    </xf>
    <xf numFmtId="0" fontId="203" fillId="9" borderId="10" xfId="0" applyFont="1" applyFill="1" applyBorder="1" applyAlignment="1">
      <alignment horizontal="center"/>
    </xf>
    <xf numFmtId="0" fontId="203" fillId="9" borderId="12" xfId="0" applyFont="1" applyFill="1" applyBorder="1" applyAlignment="1">
      <alignment horizontal="center"/>
    </xf>
    <xf numFmtId="0" fontId="175" fillId="9" borderId="10" xfId="0" quotePrefix="1" applyFont="1" applyFill="1" applyBorder="1" applyAlignment="1">
      <alignment horizontal="left"/>
    </xf>
    <xf numFmtId="0" fontId="175" fillId="9" borderId="0" xfId="0" applyFont="1" applyFill="1" applyBorder="1" applyAlignment="1">
      <alignment horizontal="left"/>
    </xf>
    <xf numFmtId="0" fontId="202" fillId="9" borderId="0" xfId="0" applyFont="1" applyFill="1" applyBorder="1" applyAlignment="1">
      <alignment horizontal="left"/>
    </xf>
    <xf numFmtId="0" fontId="198" fillId="2" borderId="28" xfId="0" applyFont="1" applyFill="1" applyBorder="1" applyAlignment="1">
      <alignment horizontal="center"/>
    </xf>
    <xf numFmtId="0" fontId="175" fillId="9" borderId="36" xfId="0" applyFont="1" applyFill="1" applyBorder="1" applyAlignment="1">
      <alignment horizontal="center"/>
    </xf>
    <xf numFmtId="0" fontId="175" fillId="9" borderId="14" xfId="0" applyFont="1" applyFill="1" applyBorder="1" applyAlignment="1">
      <alignment horizontal="center"/>
    </xf>
    <xf numFmtId="0" fontId="175" fillId="9" borderId="21" xfId="0" applyFont="1" applyFill="1" applyBorder="1" applyAlignment="1">
      <alignment horizontal="center"/>
    </xf>
    <xf numFmtId="0" fontId="175" fillId="9" borderId="39" xfId="0" applyFont="1" applyFill="1" applyBorder="1" applyAlignment="1">
      <alignment horizontal="center"/>
    </xf>
    <xf numFmtId="0" fontId="175" fillId="9" borderId="10" xfId="0" applyFont="1" applyFill="1" applyBorder="1" applyAlignment="1">
      <alignment horizontal="left"/>
    </xf>
    <xf numFmtId="0" fontId="175" fillId="9" borderId="17" xfId="0" applyFont="1" applyFill="1" applyBorder="1" applyAlignment="1">
      <alignment horizontal="center"/>
    </xf>
    <xf numFmtId="0" fontId="203" fillId="9" borderId="10" xfId="0" applyFont="1" applyFill="1" applyBorder="1" applyAlignment="1">
      <alignment horizontal="center" vertical="center"/>
    </xf>
    <xf numFmtId="0" fontId="203" fillId="9" borderId="12" xfId="0" applyFont="1" applyFill="1" applyBorder="1" applyAlignment="1">
      <alignment horizontal="center" vertical="center"/>
    </xf>
    <xf numFmtId="0" fontId="202" fillId="9" borderId="10" xfId="0" applyFont="1" applyFill="1" applyBorder="1" applyAlignment="1">
      <alignment horizontal="left" vertical="center"/>
    </xf>
    <xf numFmtId="0" fontId="202" fillId="9" borderId="12" xfId="0" applyFont="1" applyFill="1" applyBorder="1" applyAlignment="1">
      <alignment horizontal="left" vertical="center"/>
    </xf>
    <xf numFmtId="0" fontId="175" fillId="9" borderId="10" xfId="0" applyFont="1" applyFill="1" applyBorder="1" applyAlignment="1"/>
    <xf numFmtId="0" fontId="175" fillId="9" borderId="0" xfId="0" applyFont="1" applyFill="1" applyBorder="1" applyAlignment="1"/>
    <xf numFmtId="0" fontId="175" fillId="9" borderId="14" xfId="0" applyFont="1" applyFill="1" applyBorder="1" applyAlignment="1"/>
    <xf numFmtId="0" fontId="175" fillId="9" borderId="21" xfId="0" applyFont="1" applyFill="1" applyBorder="1" applyAlignment="1"/>
    <xf numFmtId="0" fontId="200" fillId="9" borderId="12" xfId="0" applyFont="1" applyFill="1" applyBorder="1" applyAlignment="1">
      <alignment horizontal="center" vertical="center"/>
    </xf>
    <xf numFmtId="0" fontId="175" fillId="9" borderId="17" xfId="0" applyFont="1" applyFill="1" applyBorder="1" applyAlignment="1"/>
    <xf numFmtId="0" fontId="175" fillId="9" borderId="10" xfId="0" applyFont="1" applyFill="1" applyBorder="1" applyAlignment="1">
      <alignment horizontal="left" vertical="center"/>
    </xf>
    <xf numFmtId="0" fontId="175" fillId="9" borderId="12" xfId="0" applyFont="1" applyFill="1" applyBorder="1" applyAlignment="1"/>
    <xf numFmtId="0" fontId="175" fillId="9" borderId="14" xfId="0" applyFont="1" applyFill="1" applyBorder="1" applyAlignment="1">
      <alignment horizontal="left" vertical="center"/>
    </xf>
    <xf numFmtId="0" fontId="175" fillId="9" borderId="17" xfId="0" applyFont="1" applyFill="1" applyBorder="1" applyAlignment="1">
      <alignment horizontal="left" vertical="center"/>
    </xf>
    <xf numFmtId="0" fontId="175" fillId="9" borderId="10" xfId="0" applyFont="1" applyFill="1" applyBorder="1" applyAlignment="1">
      <alignment horizontal="right" vertical="center"/>
    </xf>
    <xf numFmtId="0" fontId="175" fillId="9" borderId="12" xfId="0" applyFont="1" applyFill="1" applyBorder="1" applyAlignment="1">
      <alignment horizontal="right" vertical="center"/>
    </xf>
    <xf numFmtId="0" fontId="175" fillId="9" borderId="29" xfId="0" applyFont="1" applyFill="1" applyBorder="1" applyAlignment="1">
      <alignment horizontal="center"/>
    </xf>
    <xf numFmtId="0" fontId="202" fillId="9" borderId="0" xfId="0" applyFont="1" applyFill="1" applyBorder="1" applyAlignment="1">
      <alignment horizontal="left" vertical="center"/>
    </xf>
    <xf numFmtId="0" fontId="175" fillId="9" borderId="0" xfId="0" applyFont="1" applyFill="1" applyBorder="1" applyAlignment="1">
      <alignment horizontal="center" vertical="center"/>
    </xf>
    <xf numFmtId="0" fontId="175" fillId="9" borderId="14" xfId="0" applyFont="1" applyFill="1" applyBorder="1" applyAlignment="1">
      <alignment horizontal="center" vertical="center"/>
    </xf>
    <xf numFmtId="0" fontId="175" fillId="9" borderId="17" xfId="0" applyFont="1" applyFill="1" applyBorder="1" applyAlignment="1">
      <alignment horizontal="center" vertical="center"/>
    </xf>
    <xf numFmtId="0" fontId="175" fillId="9" borderId="9" xfId="0" applyFont="1" applyFill="1" applyBorder="1" applyAlignment="1">
      <alignment horizontal="center"/>
    </xf>
    <xf numFmtId="0" fontId="175" fillId="9" borderId="11" xfId="0" applyFont="1" applyFill="1" applyBorder="1" applyAlignment="1">
      <alignment horizontal="center"/>
    </xf>
    <xf numFmtId="0" fontId="200" fillId="18" borderId="2" xfId="0" applyFont="1" applyFill="1" applyBorder="1" applyAlignment="1">
      <alignment horizontal="right"/>
    </xf>
    <xf numFmtId="0" fontId="200" fillId="18" borderId="3" xfId="0" applyFont="1" applyFill="1" applyBorder="1" applyAlignment="1">
      <alignment horizontal="right"/>
    </xf>
    <xf numFmtId="0" fontId="175" fillId="9" borderId="0" xfId="0" applyFont="1" applyFill="1" applyBorder="1" applyAlignment="1">
      <alignment horizontal="left" vertical="center"/>
    </xf>
    <xf numFmtId="0" fontId="175" fillId="9" borderId="10" xfId="0" applyFont="1" applyFill="1" applyBorder="1" applyAlignment="1">
      <alignment vertical="center"/>
    </xf>
    <xf numFmtId="0" fontId="175" fillId="9" borderId="12" xfId="0" applyFont="1" applyFill="1" applyBorder="1" applyAlignment="1">
      <alignment vertical="center"/>
    </xf>
    <xf numFmtId="0" fontId="206" fillId="9" borderId="10" xfId="0" applyFont="1" applyFill="1" applyBorder="1" applyAlignment="1">
      <alignment horizontal="center" vertical="center"/>
    </xf>
    <xf numFmtId="0" fontId="206" fillId="9" borderId="12" xfId="0" applyFont="1" applyFill="1" applyBorder="1" applyAlignment="1">
      <alignment horizontal="center" vertical="center"/>
    </xf>
    <xf numFmtId="0" fontId="200" fillId="9" borderId="10" xfId="0" quotePrefix="1" applyFont="1" applyFill="1" applyBorder="1" applyAlignment="1">
      <alignment horizontal="center" vertical="center"/>
    </xf>
    <xf numFmtId="0" fontId="176" fillId="9" borderId="10" xfId="0" quotePrefix="1" applyFont="1" applyFill="1" applyBorder="1" applyAlignment="1">
      <alignment horizontal="center" vertical="center"/>
    </xf>
    <xf numFmtId="0" fontId="176" fillId="9" borderId="12" xfId="0" applyFont="1" applyFill="1" applyBorder="1" applyAlignment="1">
      <alignment horizontal="center" vertical="center"/>
    </xf>
    <xf numFmtId="0" fontId="158" fillId="2" borderId="28" xfId="0" applyFont="1" applyFill="1" applyBorder="1" applyAlignment="1">
      <alignment horizontal="center" vertical="top"/>
    </xf>
    <xf numFmtId="0" fontId="158" fillId="2" borderId="0" xfId="0" applyFont="1" applyFill="1" applyBorder="1" applyAlignment="1">
      <alignment horizontal="center" vertical="top"/>
    </xf>
    <xf numFmtId="0" fontId="158" fillId="2" borderId="0" xfId="0" applyFont="1" applyFill="1" applyBorder="1" applyAlignment="1">
      <alignment horizontal="center"/>
    </xf>
    <xf numFmtId="0" fontId="155" fillId="2" borderId="0" xfId="0" applyFont="1" applyFill="1" applyAlignment="1">
      <alignment horizontal="center" vertical="center"/>
    </xf>
    <xf numFmtId="0" fontId="153" fillId="9" borderId="36" xfId="0" applyFont="1" applyFill="1" applyBorder="1" applyAlignment="1">
      <alignment horizontal="center" vertical="center"/>
    </xf>
    <xf numFmtId="0" fontId="154" fillId="9" borderId="10" xfId="0" applyFont="1" applyFill="1" applyBorder="1" applyAlignment="1">
      <alignment horizontal="left" vertical="center"/>
    </xf>
    <xf numFmtId="0" fontId="154" fillId="9" borderId="12" xfId="0" applyFont="1" applyFill="1" applyBorder="1" applyAlignment="1">
      <alignment horizontal="left" vertical="center"/>
    </xf>
    <xf numFmtId="0" fontId="184" fillId="9" borderId="10" xfId="0" applyFont="1" applyFill="1" applyBorder="1" applyAlignment="1">
      <alignment horizontal="center" vertical="center"/>
    </xf>
    <xf numFmtId="0" fontId="184" fillId="9" borderId="12" xfId="0" applyFont="1" applyFill="1" applyBorder="1" applyAlignment="1">
      <alignment horizontal="center" vertical="center"/>
    </xf>
    <xf numFmtId="0" fontId="153" fillId="9" borderId="0" xfId="0" quotePrefix="1" applyFont="1" applyFill="1" applyBorder="1" applyAlignment="1">
      <alignment horizontal="left" vertical="center"/>
    </xf>
    <xf numFmtId="0" fontId="160" fillId="9" borderId="0" xfId="0" applyFont="1" applyFill="1" applyBorder="1" applyAlignment="1">
      <alignment horizontal="center" vertical="center"/>
    </xf>
    <xf numFmtId="0" fontId="160" fillId="9" borderId="12" xfId="0" applyFont="1" applyFill="1" applyBorder="1" applyAlignment="1">
      <alignment horizontal="center" vertical="center"/>
    </xf>
    <xf numFmtId="0" fontId="154" fillId="9" borderId="0" xfId="0" applyFont="1" applyFill="1" applyBorder="1" applyAlignment="1">
      <alignment horizontal="left" vertical="center"/>
    </xf>
    <xf numFmtId="0" fontId="153" fillId="9" borderId="21" xfId="0" applyFont="1" applyFill="1" applyBorder="1" applyAlignment="1">
      <alignment horizontal="center" vertical="center"/>
    </xf>
    <xf numFmtId="0" fontId="153" fillId="9" borderId="14" xfId="0" applyFont="1" applyFill="1" applyBorder="1" applyAlignment="1">
      <alignment horizontal="center" vertical="center"/>
    </xf>
    <xf numFmtId="0" fontId="172" fillId="2" borderId="5" xfId="0" applyFont="1" applyFill="1" applyBorder="1" applyAlignment="1">
      <alignment horizontal="center"/>
    </xf>
    <xf numFmtId="0" fontId="172" fillId="18" borderId="4" xfId="0" applyFont="1" applyFill="1" applyBorder="1" applyAlignment="1">
      <alignment horizontal="center"/>
    </xf>
    <xf numFmtId="0" fontId="172" fillId="18" borderId="16" xfId="0" applyFont="1" applyFill="1" applyBorder="1" applyAlignment="1">
      <alignment horizontal="center"/>
    </xf>
    <xf numFmtId="0" fontId="169" fillId="2" borderId="6" xfId="0" applyFont="1" applyFill="1" applyBorder="1" applyAlignment="1">
      <alignment horizontal="center"/>
    </xf>
    <xf numFmtId="0" fontId="162" fillId="2" borderId="6" xfId="0" applyFont="1" applyFill="1" applyBorder="1" applyAlignment="1">
      <alignment horizontal="center"/>
    </xf>
    <xf numFmtId="0" fontId="162" fillId="2" borderId="4" xfId="0" applyFont="1" applyFill="1" applyBorder="1" applyAlignment="1">
      <alignment horizontal="center"/>
    </xf>
    <xf numFmtId="176" fontId="164" fillId="18" borderId="26" xfId="0" applyNumberFormat="1" applyFont="1" applyFill="1" applyBorder="1" applyAlignment="1">
      <alignment horizontal="center"/>
    </xf>
    <xf numFmtId="176" fontId="164" fillId="18" borderId="24" xfId="0" applyNumberFormat="1" applyFont="1" applyFill="1" applyBorder="1" applyAlignment="1">
      <alignment horizontal="center"/>
    </xf>
    <xf numFmtId="176" fontId="164" fillId="18" borderId="25" xfId="0" applyNumberFormat="1" applyFont="1" applyFill="1" applyBorder="1" applyAlignment="1">
      <alignment horizontal="center"/>
    </xf>
    <xf numFmtId="176" fontId="164" fillId="18" borderId="38" xfId="0" applyNumberFormat="1" applyFont="1" applyFill="1" applyBorder="1" applyAlignment="1">
      <alignment horizontal="center"/>
    </xf>
    <xf numFmtId="0" fontId="172" fillId="18" borderId="29" xfId="0" applyFont="1" applyFill="1" applyBorder="1" applyAlignment="1">
      <alignment horizontal="center"/>
    </xf>
    <xf numFmtId="0" fontId="162" fillId="2" borderId="28" xfId="0" applyFont="1" applyFill="1" applyBorder="1" applyAlignment="1">
      <alignment horizontal="center"/>
    </xf>
    <xf numFmtId="176" fontId="164" fillId="18" borderId="28" xfId="0" applyNumberFormat="1" applyFont="1" applyFill="1" applyBorder="1" applyAlignment="1">
      <alignment horizontal="center"/>
    </xf>
    <xf numFmtId="0" fontId="172" fillId="18" borderId="34" xfId="0" applyFont="1" applyFill="1" applyBorder="1" applyAlignment="1">
      <alignment horizontal="center"/>
    </xf>
    <xf numFmtId="0" fontId="166" fillId="2" borderId="0" xfId="0" quotePrefix="1" applyFont="1" applyFill="1" applyAlignment="1">
      <alignment horizontal="center" vertical="center"/>
    </xf>
    <xf numFmtId="176" fontId="164" fillId="18" borderId="4" xfId="0" applyNumberFormat="1" applyFont="1" applyFill="1" applyBorder="1" applyAlignment="1">
      <alignment horizontal="center"/>
    </xf>
    <xf numFmtId="176" fontId="164" fillId="18" borderId="16" xfId="0" applyNumberFormat="1" applyFont="1" applyFill="1" applyBorder="1" applyAlignment="1">
      <alignment horizontal="center"/>
    </xf>
    <xf numFmtId="0" fontId="162" fillId="2" borderId="30" xfId="0" applyFont="1" applyFill="1" applyBorder="1" applyAlignment="1">
      <alignment horizontal="center" vertical="center"/>
    </xf>
    <xf numFmtId="176" fontId="166" fillId="2" borderId="16" xfId="0" applyNumberFormat="1" applyFont="1" applyFill="1" applyBorder="1" applyAlignment="1">
      <alignment horizontal="center"/>
    </xf>
    <xf numFmtId="177" fontId="166" fillId="2" borderId="28" xfId="3" applyNumberFormat="1" applyFont="1" applyFill="1" applyBorder="1" applyAlignment="1">
      <alignment horizontal="left" vertical="center"/>
    </xf>
    <xf numFmtId="177" fontId="166" fillId="2" borderId="31" xfId="3" applyNumberFormat="1" applyFont="1" applyFill="1" applyBorder="1" applyAlignment="1">
      <alignment horizontal="left" vertical="center"/>
    </xf>
    <xf numFmtId="177" fontId="166" fillId="2" borderId="29" xfId="3" applyNumberFormat="1" applyFont="1" applyFill="1" applyBorder="1" applyAlignment="1">
      <alignment horizontal="left" vertical="center"/>
    </xf>
    <xf numFmtId="177" fontId="166" fillId="2" borderId="34" xfId="3" applyNumberFormat="1" applyFont="1" applyFill="1" applyBorder="1" applyAlignment="1">
      <alignment horizontal="left" vertical="center"/>
    </xf>
    <xf numFmtId="0" fontId="169" fillId="2" borderId="16" xfId="0" applyFont="1" applyFill="1" applyBorder="1" applyAlignment="1">
      <alignment horizontal="center"/>
    </xf>
    <xf numFmtId="177" fontId="166" fillId="2" borderId="4" xfId="0" applyNumberFormat="1" applyFont="1" applyFill="1" applyBorder="1" applyAlignment="1">
      <alignment horizontal="left"/>
    </xf>
    <xf numFmtId="0" fontId="166" fillId="2" borderId="16" xfId="0" applyFont="1" applyFill="1" applyBorder="1" applyAlignment="1">
      <alignment horizontal="left"/>
    </xf>
    <xf numFmtId="0" fontId="166" fillId="2" borderId="5" xfId="0" applyFont="1" applyFill="1" applyBorder="1" applyAlignment="1">
      <alignment horizontal="left"/>
    </xf>
    <xf numFmtId="177" fontId="166" fillId="2" borderId="0" xfId="0" applyNumberFormat="1" applyFont="1" applyFill="1" applyBorder="1" applyAlignment="1">
      <alignment horizontal="center"/>
    </xf>
    <xf numFmtId="176" fontId="174" fillId="18" borderId="26" xfId="0" applyNumberFormat="1" applyFont="1" applyFill="1" applyBorder="1" applyAlignment="1">
      <alignment horizontal="center"/>
    </xf>
    <xf numFmtId="176" fontId="174" fillId="18" borderId="24" xfId="0" applyNumberFormat="1" applyFont="1" applyFill="1" applyBorder="1" applyAlignment="1">
      <alignment horizontal="center"/>
    </xf>
    <xf numFmtId="176" fontId="174" fillId="18" borderId="25" xfId="0" applyNumberFormat="1" applyFont="1" applyFill="1" applyBorder="1" applyAlignment="1">
      <alignment horizontal="center"/>
    </xf>
    <xf numFmtId="176" fontId="174" fillId="18" borderId="38" xfId="0" applyNumberFormat="1" applyFont="1" applyFill="1" applyBorder="1" applyAlignment="1">
      <alignment horizontal="center"/>
    </xf>
    <xf numFmtId="176" fontId="174" fillId="18" borderId="28" xfId="0" applyNumberFormat="1" applyFont="1" applyFill="1" applyBorder="1" applyAlignment="1">
      <alignment horizontal="center"/>
    </xf>
    <xf numFmtId="176" fontId="163" fillId="18" borderId="4" xfId="0" applyNumberFormat="1" applyFont="1" applyFill="1" applyBorder="1" applyAlignment="1">
      <alignment horizontal="center"/>
    </xf>
    <xf numFmtId="176" fontId="163" fillId="18" borderId="16" xfId="0" applyNumberFormat="1" applyFont="1" applyFill="1" applyBorder="1" applyAlignment="1">
      <alignment horizontal="center"/>
    </xf>
    <xf numFmtId="167" fontId="1" fillId="9" borderId="1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0" borderId="0" xfId="0" applyFont="1" applyFill="1" applyAlignment="1">
      <alignment horizontal="right"/>
    </xf>
    <xf numFmtId="0" fontId="1" fillId="20" borderId="21" xfId="0" applyFont="1" applyFill="1" applyBorder="1" applyAlignment="1">
      <alignment horizontal="right"/>
    </xf>
    <xf numFmtId="0" fontId="5" fillId="18" borderId="2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5" fillId="18" borderId="2" xfId="0" applyFont="1" applyFill="1" applyBorder="1" applyAlignment="1">
      <alignment horizontal="left"/>
    </xf>
    <xf numFmtId="0" fontId="5" fillId="18" borderId="3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123" fillId="11" borderId="10" xfId="0" applyFont="1" applyFill="1" applyBorder="1" applyAlignment="1">
      <alignment horizontal="center"/>
    </xf>
    <xf numFmtId="0" fontId="123" fillId="11" borderId="14" xfId="0" applyFont="1" applyFill="1" applyBorder="1" applyAlignment="1">
      <alignment horizontal="center"/>
    </xf>
    <xf numFmtId="0" fontId="5" fillId="17" borderId="0" xfId="0" applyFont="1" applyFill="1" applyAlignment="1">
      <alignment horizontal="left" wrapText="1"/>
    </xf>
    <xf numFmtId="0" fontId="5" fillId="17" borderId="0" xfId="0" applyFont="1" applyFill="1" applyAlignment="1">
      <alignment horizontal="left" vertical="top" wrapText="1"/>
    </xf>
    <xf numFmtId="44" fontId="66" fillId="10" borderId="8" xfId="3" applyFont="1" applyFill="1" applyBorder="1" applyAlignment="1" applyProtection="1">
      <alignment horizontal="left"/>
      <protection locked="0"/>
    </xf>
    <xf numFmtId="44" fontId="66" fillId="10" borderId="3" xfId="3" applyFont="1" applyFill="1" applyBorder="1" applyAlignment="1" applyProtection="1">
      <alignment horizontal="left"/>
      <protection locked="0"/>
    </xf>
    <xf numFmtId="0" fontId="66" fillId="10" borderId="0" xfId="0" applyFont="1" applyFill="1" applyBorder="1" applyAlignment="1" applyProtection="1">
      <alignment horizontal="center"/>
      <protection locked="0"/>
    </xf>
    <xf numFmtId="3" fontId="79" fillId="10" borderId="0" xfId="0" applyNumberFormat="1" applyFont="1" applyFill="1" applyBorder="1" applyAlignment="1" applyProtection="1">
      <alignment horizontal="left"/>
      <protection locked="0"/>
    </xf>
    <xf numFmtId="4" fontId="66" fillId="11" borderId="0" xfId="0" applyNumberFormat="1" applyFont="1" applyFill="1" applyBorder="1" applyAlignment="1" applyProtection="1">
      <alignment horizontal="center"/>
      <protection locked="0"/>
    </xf>
    <xf numFmtId="0" fontId="66" fillId="11" borderId="0" xfId="0" applyFont="1" applyFill="1" applyBorder="1" applyAlignment="1" applyProtection="1">
      <alignment horizontal="center"/>
      <protection locked="0"/>
    </xf>
    <xf numFmtId="0" fontId="66" fillId="11" borderId="0" xfId="0" applyFont="1" applyFill="1" applyBorder="1" applyAlignment="1" applyProtection="1">
      <alignment horizontal="center" vertical="center"/>
      <protection locked="0"/>
    </xf>
    <xf numFmtId="0" fontId="67" fillId="10" borderId="0" xfId="0" applyFont="1" applyFill="1" applyBorder="1" applyAlignment="1" applyProtection="1">
      <alignment horizontal="center"/>
      <protection locked="0"/>
    </xf>
    <xf numFmtId="0" fontId="74" fillId="10" borderId="0" xfId="0" quotePrefix="1" applyFont="1" applyFill="1" applyBorder="1" applyAlignment="1" applyProtection="1">
      <alignment horizontal="center"/>
      <protection locked="0"/>
    </xf>
    <xf numFmtId="2" fontId="66" fillId="11" borderId="0" xfId="0" applyNumberFormat="1" applyFont="1" applyFill="1" applyBorder="1" applyAlignment="1" applyProtection="1">
      <alignment horizontal="center"/>
      <protection locked="0"/>
    </xf>
    <xf numFmtId="0" fontId="85" fillId="10" borderId="0" xfId="0" applyFont="1" applyFill="1" applyBorder="1" applyAlignment="1" applyProtection="1">
      <alignment horizontal="center"/>
      <protection locked="0"/>
    </xf>
    <xf numFmtId="0" fontId="74" fillId="10" borderId="0" xfId="0" applyFont="1" applyFill="1" applyBorder="1" applyAlignment="1" applyProtection="1">
      <alignment horizontal="center"/>
      <protection locked="0"/>
    </xf>
    <xf numFmtId="4" fontId="87" fillId="11" borderId="0" xfId="0" applyNumberFormat="1" applyFont="1" applyFill="1" applyBorder="1" applyAlignment="1" applyProtection="1">
      <alignment horizontal="center"/>
      <protection locked="0"/>
    </xf>
    <xf numFmtId="0" fontId="86" fillId="11" borderId="0" xfId="0" applyFont="1" applyFill="1" applyBorder="1" applyAlignment="1" applyProtection="1">
      <alignment horizontal="center"/>
      <protection locked="0"/>
    </xf>
    <xf numFmtId="4" fontId="87" fillId="11" borderId="0" xfId="0" applyNumberFormat="1" applyFont="1" applyFill="1" applyBorder="1" applyAlignment="1" applyProtection="1">
      <alignment horizontal="left"/>
      <protection locked="0"/>
    </xf>
    <xf numFmtId="0" fontId="79" fillId="11" borderId="0" xfId="0" applyFont="1" applyFill="1" applyBorder="1" applyAlignment="1" applyProtection="1">
      <alignment horizontal="center" vertical="center"/>
      <protection locked="0"/>
    </xf>
    <xf numFmtId="0" fontId="91" fillId="11" borderId="0" xfId="0" applyFont="1" applyFill="1" applyBorder="1" applyAlignment="1" applyProtection="1">
      <alignment horizontal="center"/>
      <protection locked="0"/>
    </xf>
    <xf numFmtId="0" fontId="90" fillId="11" borderId="0" xfId="0" applyFont="1" applyFill="1" applyBorder="1" applyAlignment="1" applyProtection="1">
      <alignment horizontal="center"/>
      <protection locked="0"/>
    </xf>
    <xf numFmtId="44" fontId="81" fillId="11" borderId="0" xfId="3" applyFont="1" applyFill="1" applyBorder="1" applyAlignment="1" applyProtection="1">
      <alignment horizontal="center" vertical="top"/>
      <protection locked="0"/>
    </xf>
    <xf numFmtId="170" fontId="114" fillId="16" borderId="0" xfId="0" applyNumberFormat="1" applyFont="1" applyFill="1" applyAlignment="1" applyProtection="1">
      <alignment horizontal="center"/>
      <protection locked="0"/>
    </xf>
    <xf numFmtId="170" fontId="118" fillId="16" borderId="0" xfId="0" applyNumberFormat="1" applyFont="1" applyFill="1" applyAlignment="1" applyProtection="1">
      <alignment horizontal="center"/>
      <protection locked="0"/>
    </xf>
    <xf numFmtId="44" fontId="98" fillId="16" borderId="0" xfId="3" applyFont="1" applyFill="1" applyAlignment="1" applyProtection="1">
      <alignment horizontal="center"/>
      <protection locked="0"/>
    </xf>
  </cellXfs>
  <cellStyles count="5">
    <cellStyle name="Hiperlink" xfId="4" builtinId="8"/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99"/>
      <color rgb="FFFFFFCC"/>
      <color rgb="FF4FD196"/>
      <color rgb="FF00FF00"/>
      <color rgb="FFCCFFCC"/>
      <color rgb="FFCCFF33"/>
      <color rgb="FF66CCFF"/>
      <color rgb="FF50D0B2"/>
      <color rgb="FF64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0</xdr:rowOff>
    </xdr:from>
    <xdr:to>
      <xdr:col>14</xdr:col>
      <xdr:colOff>304800</xdr:colOff>
      <xdr:row>5</xdr:row>
      <xdr:rowOff>114301</xdr:rowOff>
    </xdr:to>
    <xdr:sp macro="" textlink="">
      <xdr:nvSpPr>
        <xdr:cNvPr id="2" name="CaixaDeTexto 1"/>
        <xdr:cNvSpPr txBox="1"/>
      </xdr:nvSpPr>
      <xdr:spPr>
        <a:xfrm>
          <a:off x="771525" y="0"/>
          <a:ext cx="6343650" cy="12382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A figura abaixo ilustra um tijolo refratário  para churrasqueiras. O tijolo tem 4 furos, que atravessam o tijolo todo  e  cada furo corresponde ao espaço ocupado por um cilindro reto de diâmetro igual a terça  parte de sua altura.</a:t>
          </a: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Para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fins de transporte a transportadora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quer saber o peso total e o espaço total ocupado da carga.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Encontre o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rgbClr val="FF0000"/>
              </a:solidFill>
              <a:latin typeface="+mn-lt"/>
              <a:ea typeface="+mn-ea"/>
              <a:cs typeface="+mn-cs"/>
            </a:rPr>
            <a:t>volume/espaço ocupado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de M milheiros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do tijolos, em m³, considerando que as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dimensões a, b e c </a:t>
          </a:r>
          <a:r>
            <a:rPr lang="pt-BR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são respectivamente: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 cm, b cm e ccm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 que a densidade do material maciço  é 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kg/m³</a:t>
          </a:r>
          <a:endParaRPr lang="pt-BR"/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800"/>
        </a:p>
      </xdr:txBody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18</xdr:col>
      <xdr:colOff>28575</xdr:colOff>
      <xdr:row>10</xdr:row>
      <xdr:rowOff>95250</xdr:rowOff>
    </xdr:to>
    <xdr:sp macro="" textlink="">
      <xdr:nvSpPr>
        <xdr:cNvPr id="1025" name="AutoShape 1" descr="https://moodle.unijui.edu.br/pluginfile.php/924/question/questiontext/preview/924/core_question/1394/1394/1.jpg"/>
        <xdr:cNvSpPr>
          <a:spLocks noChangeAspect="1" noChangeArrowheads="1"/>
        </xdr:cNvSpPr>
      </xdr:nvSpPr>
      <xdr:spPr bwMode="auto">
        <a:xfrm>
          <a:off x="7086600" y="1743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304800</xdr:colOff>
      <xdr:row>8</xdr:row>
      <xdr:rowOff>53008</xdr:rowOff>
    </xdr:from>
    <xdr:to>
      <xdr:col>6</xdr:col>
      <xdr:colOff>619125</xdr:colOff>
      <xdr:row>13</xdr:row>
      <xdr:rowOff>8696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1586533"/>
          <a:ext cx="2286000" cy="99391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9</xdr:row>
      <xdr:rowOff>0</xdr:rowOff>
    </xdr:from>
    <xdr:to>
      <xdr:col>11</xdr:col>
      <xdr:colOff>28575</xdr:colOff>
      <xdr:row>9</xdr:row>
      <xdr:rowOff>238125</xdr:rowOff>
    </xdr:to>
    <xdr:sp macro="" textlink="">
      <xdr:nvSpPr>
        <xdr:cNvPr id="5" name="Seta dobrada para cima 4"/>
        <xdr:cNvSpPr/>
      </xdr:nvSpPr>
      <xdr:spPr>
        <a:xfrm>
          <a:off x="4829175" y="2162175"/>
          <a:ext cx="352425" cy="2381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676275</xdr:colOff>
      <xdr:row>9</xdr:row>
      <xdr:rowOff>47625</xdr:rowOff>
    </xdr:from>
    <xdr:to>
      <xdr:col>6</xdr:col>
      <xdr:colOff>257176</xdr:colOff>
      <xdr:row>10</xdr:row>
      <xdr:rowOff>9525</xdr:rowOff>
    </xdr:to>
    <xdr:sp macro="" textlink="">
      <xdr:nvSpPr>
        <xdr:cNvPr id="6" name="Seta dobrada para cima 5"/>
        <xdr:cNvSpPr/>
      </xdr:nvSpPr>
      <xdr:spPr>
        <a:xfrm flipH="1" flipV="1">
          <a:off x="2695575" y="2209800"/>
          <a:ext cx="257176" cy="2286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9</xdr:row>
      <xdr:rowOff>0</xdr:rowOff>
    </xdr:from>
    <xdr:to>
      <xdr:col>11</xdr:col>
      <xdr:colOff>28575</xdr:colOff>
      <xdr:row>9</xdr:row>
      <xdr:rowOff>238125</xdr:rowOff>
    </xdr:to>
    <xdr:sp macro="" textlink="">
      <xdr:nvSpPr>
        <xdr:cNvPr id="5" name="Seta dobrada para cima 4"/>
        <xdr:cNvSpPr/>
      </xdr:nvSpPr>
      <xdr:spPr>
        <a:xfrm>
          <a:off x="4572000" y="2133600"/>
          <a:ext cx="352425" cy="2381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676275</xdr:colOff>
      <xdr:row>9</xdr:row>
      <xdr:rowOff>47625</xdr:rowOff>
    </xdr:from>
    <xdr:to>
      <xdr:col>6</xdr:col>
      <xdr:colOff>257176</xdr:colOff>
      <xdr:row>10</xdr:row>
      <xdr:rowOff>9525</xdr:rowOff>
    </xdr:to>
    <xdr:sp macro="" textlink="">
      <xdr:nvSpPr>
        <xdr:cNvPr id="6" name="Seta dobrada para cima 5"/>
        <xdr:cNvSpPr/>
      </xdr:nvSpPr>
      <xdr:spPr>
        <a:xfrm flipH="1" flipV="1">
          <a:off x="2762250" y="2181225"/>
          <a:ext cx="314326" cy="2286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8</xdr:row>
      <xdr:rowOff>95250</xdr:rowOff>
    </xdr:from>
    <xdr:to>
      <xdr:col>11</xdr:col>
      <xdr:colOff>247650</xdr:colOff>
      <xdr:row>9</xdr:row>
      <xdr:rowOff>19050</xdr:rowOff>
    </xdr:to>
    <xdr:sp macro="" textlink="">
      <xdr:nvSpPr>
        <xdr:cNvPr id="4" name="Seta dobrada para cima 3"/>
        <xdr:cNvSpPr/>
      </xdr:nvSpPr>
      <xdr:spPr>
        <a:xfrm>
          <a:off x="5867400" y="1857375"/>
          <a:ext cx="571500" cy="1905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742949</xdr:colOff>
      <xdr:row>8</xdr:row>
      <xdr:rowOff>85725</xdr:rowOff>
    </xdr:from>
    <xdr:to>
      <xdr:col>7</xdr:col>
      <xdr:colOff>676274</xdr:colOff>
      <xdr:row>8</xdr:row>
      <xdr:rowOff>228600</xdr:rowOff>
    </xdr:to>
    <xdr:sp macro="" textlink="">
      <xdr:nvSpPr>
        <xdr:cNvPr id="5" name="Seta dobrada para cima 4"/>
        <xdr:cNvSpPr/>
      </xdr:nvSpPr>
      <xdr:spPr>
        <a:xfrm flipH="1" flipV="1">
          <a:off x="3562349" y="1847850"/>
          <a:ext cx="1247775" cy="1428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1028700</xdr:colOff>
      <xdr:row>6</xdr:row>
      <xdr:rowOff>85724</xdr:rowOff>
    </xdr:from>
    <xdr:to>
      <xdr:col>9</xdr:col>
      <xdr:colOff>104776</xdr:colOff>
      <xdr:row>9</xdr:row>
      <xdr:rowOff>142874</xdr:rowOff>
    </xdr:to>
    <xdr:cxnSp macro="">
      <xdr:nvCxnSpPr>
        <xdr:cNvPr id="6" name="Conector de seta reta 5"/>
        <xdr:cNvCxnSpPr/>
      </xdr:nvCxnSpPr>
      <xdr:spPr>
        <a:xfrm rot="10800000" flipV="1">
          <a:off x="3848100" y="1304924"/>
          <a:ext cx="1571626" cy="866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1171576</xdr:colOff>
      <xdr:row>7</xdr:row>
      <xdr:rowOff>142874</xdr:rowOff>
    </xdr:from>
    <xdr:to>
      <xdr:col>9</xdr:col>
      <xdr:colOff>257177</xdr:colOff>
      <xdr:row>10</xdr:row>
      <xdr:rowOff>161924</xdr:rowOff>
    </xdr:to>
    <xdr:cxnSp macro="">
      <xdr:nvCxnSpPr>
        <xdr:cNvPr id="7" name="Conector de seta reta 6"/>
        <xdr:cNvCxnSpPr/>
      </xdr:nvCxnSpPr>
      <xdr:spPr>
        <a:xfrm rot="10800000" flipV="1">
          <a:off x="3990976" y="1628774"/>
          <a:ext cx="1581151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66680</xdr:colOff>
      <xdr:row>6</xdr:row>
      <xdr:rowOff>161925</xdr:rowOff>
    </xdr:from>
    <xdr:to>
      <xdr:col>6</xdr:col>
      <xdr:colOff>752476</xdr:colOff>
      <xdr:row>9</xdr:row>
      <xdr:rowOff>161924</xdr:rowOff>
    </xdr:to>
    <xdr:cxnSp macro="">
      <xdr:nvCxnSpPr>
        <xdr:cNvPr id="8" name="Conector de seta reta 7"/>
        <xdr:cNvCxnSpPr/>
      </xdr:nvCxnSpPr>
      <xdr:spPr>
        <a:xfrm rot="10800000" flipV="1">
          <a:off x="952505" y="1438275"/>
          <a:ext cx="2619371" cy="8096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257176</xdr:colOff>
      <xdr:row>7</xdr:row>
      <xdr:rowOff>171450</xdr:rowOff>
    </xdr:from>
    <xdr:to>
      <xdr:col>6</xdr:col>
      <xdr:colOff>819153</xdr:colOff>
      <xdr:row>10</xdr:row>
      <xdr:rowOff>152401</xdr:rowOff>
    </xdr:to>
    <xdr:cxnSp macro="">
      <xdr:nvCxnSpPr>
        <xdr:cNvPr id="9" name="Conector de seta reta 8"/>
        <xdr:cNvCxnSpPr/>
      </xdr:nvCxnSpPr>
      <xdr:spPr>
        <a:xfrm rot="10800000" flipV="1">
          <a:off x="1143001" y="1714500"/>
          <a:ext cx="2495552" cy="7905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52437</xdr:colOff>
      <xdr:row>7</xdr:row>
      <xdr:rowOff>100063</xdr:rowOff>
    </xdr:from>
    <xdr:to>
      <xdr:col>12</xdr:col>
      <xdr:colOff>461910</xdr:colOff>
      <xdr:row>8</xdr:row>
      <xdr:rowOff>66678</xdr:rowOff>
    </xdr:to>
    <xdr:sp macro="" textlink="">
      <xdr:nvSpPr>
        <xdr:cNvPr id="2" name="Seta para baixo 1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7</xdr:row>
      <xdr:rowOff>100063</xdr:rowOff>
    </xdr:from>
    <xdr:to>
      <xdr:col>12</xdr:col>
      <xdr:colOff>461910</xdr:colOff>
      <xdr:row>8</xdr:row>
      <xdr:rowOff>66678</xdr:rowOff>
    </xdr:to>
    <xdr:sp macro="" textlink="">
      <xdr:nvSpPr>
        <xdr:cNvPr id="3" name="Seta para baixo 2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7</xdr:row>
      <xdr:rowOff>100063</xdr:rowOff>
    </xdr:from>
    <xdr:to>
      <xdr:col>12</xdr:col>
      <xdr:colOff>461910</xdr:colOff>
      <xdr:row>8</xdr:row>
      <xdr:rowOff>66678</xdr:rowOff>
    </xdr:to>
    <xdr:sp macro="" textlink="">
      <xdr:nvSpPr>
        <xdr:cNvPr id="4" name="Seta para baixo 3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7</xdr:row>
      <xdr:rowOff>100063</xdr:rowOff>
    </xdr:from>
    <xdr:to>
      <xdr:col>12</xdr:col>
      <xdr:colOff>461910</xdr:colOff>
      <xdr:row>8</xdr:row>
      <xdr:rowOff>66678</xdr:rowOff>
    </xdr:to>
    <xdr:sp macro="" textlink="">
      <xdr:nvSpPr>
        <xdr:cNvPr id="5" name="Seta para baixo 4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7</xdr:row>
      <xdr:rowOff>100063</xdr:rowOff>
    </xdr:from>
    <xdr:to>
      <xdr:col>12</xdr:col>
      <xdr:colOff>461910</xdr:colOff>
      <xdr:row>8</xdr:row>
      <xdr:rowOff>66678</xdr:rowOff>
    </xdr:to>
    <xdr:sp macro="" textlink="">
      <xdr:nvSpPr>
        <xdr:cNvPr id="6" name="Seta para baixo 5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7</xdr:row>
      <xdr:rowOff>100063</xdr:rowOff>
    </xdr:from>
    <xdr:to>
      <xdr:col>12</xdr:col>
      <xdr:colOff>461910</xdr:colOff>
      <xdr:row>8</xdr:row>
      <xdr:rowOff>66678</xdr:rowOff>
    </xdr:to>
    <xdr:sp macro="" textlink="">
      <xdr:nvSpPr>
        <xdr:cNvPr id="7" name="Seta para baixo 6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52437</xdr:colOff>
      <xdr:row>5</xdr:row>
      <xdr:rowOff>100063</xdr:rowOff>
    </xdr:from>
    <xdr:to>
      <xdr:col>12</xdr:col>
      <xdr:colOff>461910</xdr:colOff>
      <xdr:row>6</xdr:row>
      <xdr:rowOff>66678</xdr:rowOff>
    </xdr:to>
    <xdr:sp macro="" textlink="">
      <xdr:nvSpPr>
        <xdr:cNvPr id="2" name="Seta para baixo 1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5</xdr:row>
      <xdr:rowOff>100063</xdr:rowOff>
    </xdr:from>
    <xdr:to>
      <xdr:col>12</xdr:col>
      <xdr:colOff>461910</xdr:colOff>
      <xdr:row>6</xdr:row>
      <xdr:rowOff>66678</xdr:rowOff>
    </xdr:to>
    <xdr:sp macro="" textlink="">
      <xdr:nvSpPr>
        <xdr:cNvPr id="3" name="Seta para baixo 2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5</xdr:row>
      <xdr:rowOff>100063</xdr:rowOff>
    </xdr:from>
    <xdr:to>
      <xdr:col>12</xdr:col>
      <xdr:colOff>461910</xdr:colOff>
      <xdr:row>6</xdr:row>
      <xdr:rowOff>66678</xdr:rowOff>
    </xdr:to>
    <xdr:sp macro="" textlink="">
      <xdr:nvSpPr>
        <xdr:cNvPr id="4" name="Seta para baixo 3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52437</xdr:colOff>
      <xdr:row>8</xdr:row>
      <xdr:rowOff>100063</xdr:rowOff>
    </xdr:from>
    <xdr:to>
      <xdr:col>12</xdr:col>
      <xdr:colOff>461910</xdr:colOff>
      <xdr:row>9</xdr:row>
      <xdr:rowOff>66678</xdr:rowOff>
    </xdr:to>
    <xdr:sp macro="" textlink="">
      <xdr:nvSpPr>
        <xdr:cNvPr id="2" name="Seta para baixo 1"/>
        <xdr:cNvSpPr/>
      </xdr:nvSpPr>
      <xdr:spPr>
        <a:xfrm rot="5400000">
          <a:off x="4864916" y="1183559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8</xdr:row>
      <xdr:rowOff>100063</xdr:rowOff>
    </xdr:from>
    <xdr:to>
      <xdr:col>12</xdr:col>
      <xdr:colOff>461910</xdr:colOff>
      <xdr:row>9</xdr:row>
      <xdr:rowOff>66678</xdr:rowOff>
    </xdr:to>
    <xdr:sp macro="" textlink="">
      <xdr:nvSpPr>
        <xdr:cNvPr id="3" name="Seta para baixo 2"/>
        <xdr:cNvSpPr/>
      </xdr:nvSpPr>
      <xdr:spPr>
        <a:xfrm rot="5400000">
          <a:off x="4864916" y="1183559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8</xdr:row>
      <xdr:rowOff>100063</xdr:rowOff>
    </xdr:from>
    <xdr:to>
      <xdr:col>12</xdr:col>
      <xdr:colOff>461910</xdr:colOff>
      <xdr:row>9</xdr:row>
      <xdr:rowOff>66678</xdr:rowOff>
    </xdr:to>
    <xdr:sp macro="" textlink="">
      <xdr:nvSpPr>
        <xdr:cNvPr id="4" name="Seta para baixo 3"/>
        <xdr:cNvSpPr/>
      </xdr:nvSpPr>
      <xdr:spPr>
        <a:xfrm rot="5400000">
          <a:off x="4864916" y="1183559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3" name="Seta para baixo 2"/>
        <xdr:cNvSpPr/>
      </xdr:nvSpPr>
      <xdr:spPr>
        <a:xfrm rot="5400000">
          <a:off x="4864916" y="1183559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2</xdr:row>
      <xdr:rowOff>9526</xdr:rowOff>
    </xdr:from>
    <xdr:to>
      <xdr:col>17</xdr:col>
      <xdr:colOff>76200</xdr:colOff>
      <xdr:row>7</xdr:row>
      <xdr:rowOff>9525</xdr:rowOff>
    </xdr:to>
    <xdr:sp macro="" textlink="">
      <xdr:nvSpPr>
        <xdr:cNvPr id="2" name="CaixaDeTexto 1"/>
        <xdr:cNvSpPr txBox="1"/>
      </xdr:nvSpPr>
      <xdr:spPr>
        <a:xfrm>
          <a:off x="409574" y="390526"/>
          <a:ext cx="6819901" cy="952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200">
              <a:solidFill>
                <a:schemeClr val="dk1"/>
              </a:solidFill>
              <a:latin typeface="+mn-lt"/>
              <a:ea typeface="+mn-ea"/>
              <a:cs typeface="+mn-cs"/>
            </a:rPr>
            <a:t>Um profissional da construção  pretende fazer  uma churrasqueira  a partir de um modelo predeterminado. Neste momento,  precisa saber qual a medida  dos parâmetros </a:t>
          </a:r>
          <a:r>
            <a:rPr lang="pt-BR" sz="1200" b="1">
              <a:solidFill>
                <a:schemeClr val="dk1"/>
              </a:solidFill>
              <a:latin typeface="+mn-lt"/>
              <a:ea typeface="+mn-ea"/>
              <a:cs typeface="+mn-cs"/>
            </a:rPr>
            <a:t>b e c </a:t>
          </a:r>
          <a:r>
            <a:rPr lang="pt-BR" sz="1200">
              <a:solidFill>
                <a:schemeClr val="dk1"/>
              </a:solidFill>
              <a:latin typeface="+mn-lt"/>
              <a:ea typeface="+mn-ea"/>
              <a:cs typeface="+mn-cs"/>
            </a:rPr>
            <a:t>do triângulo retângulo, visto que o ângulo modelo deve ser  de  </a:t>
          </a:r>
          <a:r>
            <a:rPr lang="pt-BR" sz="1200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200">
              <a:solidFill>
                <a:schemeClr val="dk1"/>
              </a:solidFill>
              <a:latin typeface="+mn-lt"/>
              <a:ea typeface="+mn-ea"/>
              <a:cs typeface="+mn-cs"/>
            </a:rPr>
            <a:t> graus ,  para depois encontrar as demais medidas. A altura é uma medida conhecida, pois depende do espaço onde a churrasqueira será conhecida e corresponde a </a:t>
          </a:r>
          <a:r>
            <a:rPr lang="pt-BR" sz="12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200">
              <a:solidFill>
                <a:srgbClr val="0070C0"/>
              </a:solidFill>
              <a:latin typeface="+mn-lt"/>
              <a:ea typeface="+mn-ea"/>
              <a:cs typeface="+mn-cs"/>
            </a:rPr>
            <a:t>a</a:t>
          </a:r>
          <a:r>
            <a:rPr lang="pt-BR" sz="1200">
              <a:solidFill>
                <a:schemeClr val="dk1"/>
              </a:solidFill>
              <a:latin typeface="+mn-lt"/>
              <a:ea typeface="+mn-ea"/>
              <a:cs typeface="+mn-cs"/>
            </a:rPr>
            <a:t>cm. </a:t>
          </a:r>
        </a:p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t-BR" sz="1800"/>
        </a:p>
      </xdr:txBody>
    </xdr:sp>
    <xdr:clientData/>
  </xdr:twoCellAnchor>
  <xdr:twoCellAnchor editAs="oneCell">
    <xdr:from>
      <xdr:col>2</xdr:col>
      <xdr:colOff>104775</xdr:colOff>
      <xdr:row>12</xdr:row>
      <xdr:rowOff>32770</xdr:rowOff>
    </xdr:from>
    <xdr:to>
      <xdr:col>2</xdr:col>
      <xdr:colOff>628650</xdr:colOff>
      <xdr:row>16</xdr:row>
      <xdr:rowOff>19049</xdr:rowOff>
    </xdr:to>
    <xdr:pic>
      <xdr:nvPicPr>
        <xdr:cNvPr id="4" name="Imagem 3" descr="triAzu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2290195"/>
          <a:ext cx="523875" cy="929254"/>
        </a:xfrm>
        <a:prstGeom prst="rect">
          <a:avLst/>
        </a:prstGeom>
      </xdr:spPr>
    </xdr:pic>
    <xdr:clientData/>
  </xdr:twoCellAnchor>
  <xdr:twoCellAnchor editAs="oneCell">
    <xdr:from>
      <xdr:col>14</xdr:col>
      <xdr:colOff>228599</xdr:colOff>
      <xdr:row>7</xdr:row>
      <xdr:rowOff>123825</xdr:rowOff>
    </xdr:from>
    <xdr:to>
      <xdr:col>16</xdr:col>
      <xdr:colOff>1104900</xdr:colOff>
      <xdr:row>16</xdr:row>
      <xdr:rowOff>171450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62599" y="1457325"/>
          <a:ext cx="1771651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2</xdr:row>
      <xdr:rowOff>9527</xdr:rowOff>
    </xdr:from>
    <xdr:to>
      <xdr:col>17</xdr:col>
      <xdr:colOff>76200</xdr:colOff>
      <xdr:row>4</xdr:row>
      <xdr:rowOff>0</xdr:rowOff>
    </xdr:to>
    <xdr:sp macro="" textlink="">
      <xdr:nvSpPr>
        <xdr:cNvPr id="2" name="CaixaDeTexto 1"/>
        <xdr:cNvSpPr txBox="1"/>
      </xdr:nvSpPr>
      <xdr:spPr>
        <a:xfrm>
          <a:off x="209549" y="219077"/>
          <a:ext cx="6905626" cy="866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II6.2) Um profissional da construção  pretende fazer  uma churrasqueira  a partir de um modelo predeterminado. Neste momento,  precisa saber qual a medida  dos parâmetros </a:t>
          </a:r>
          <a:r>
            <a:rPr lang="pt-BR" sz="1100" b="1">
              <a:solidFill>
                <a:srgbClr val="FF0000"/>
              </a:solidFill>
              <a:latin typeface="+mn-lt"/>
              <a:ea typeface="+mn-ea"/>
              <a:cs typeface="+mn-cs"/>
            </a:rPr>
            <a:t>c e 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do triângulo retângulo, visto que o ângulo a modelo deve ser  de </a:t>
          </a:r>
          <a:r>
            <a:rPr lang="pt-BR" sz="1100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= 63,6º,  para depois encontrar as demais medidas. A altura “b” é uma medida conhecida, pois depende do espaço onde a churrasqueira será conhecida e corresponde a</a:t>
          </a:r>
          <a:r>
            <a:rPr lang="pt-BR" sz="1100" b="1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 bcm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t-BR" sz="1800"/>
        </a:p>
      </xdr:txBody>
    </xdr:sp>
    <xdr:clientData/>
  </xdr:twoCellAnchor>
  <xdr:twoCellAnchor editAs="oneCell">
    <xdr:from>
      <xdr:col>2</xdr:col>
      <xdr:colOff>28575</xdr:colOff>
      <xdr:row>7</xdr:row>
      <xdr:rowOff>152400</xdr:rowOff>
    </xdr:from>
    <xdr:to>
      <xdr:col>2</xdr:col>
      <xdr:colOff>828675</xdr:colOff>
      <xdr:row>14</xdr:row>
      <xdr:rowOff>190499</xdr:rowOff>
    </xdr:to>
    <xdr:pic>
      <xdr:nvPicPr>
        <xdr:cNvPr id="4" name="Imagem 3" descr="triAzu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790700"/>
          <a:ext cx="800100" cy="1514474"/>
        </a:xfrm>
        <a:prstGeom prst="rect">
          <a:avLst/>
        </a:prstGeom>
      </xdr:spPr>
    </xdr:pic>
    <xdr:clientData/>
  </xdr:twoCellAnchor>
  <xdr:twoCellAnchor editAs="oneCell">
    <xdr:from>
      <xdr:col>14</xdr:col>
      <xdr:colOff>114301</xdr:colOff>
      <xdr:row>4</xdr:row>
      <xdr:rowOff>38100</xdr:rowOff>
    </xdr:from>
    <xdr:to>
      <xdr:col>16</xdr:col>
      <xdr:colOff>1181101</xdr:colOff>
      <xdr:row>14</xdr:row>
      <xdr:rowOff>95252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38776" y="1133475"/>
          <a:ext cx="2247900" cy="207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1</xdr:row>
      <xdr:rowOff>200026</xdr:rowOff>
    </xdr:from>
    <xdr:to>
      <xdr:col>19</xdr:col>
      <xdr:colOff>76199</xdr:colOff>
      <xdr:row>5</xdr:row>
      <xdr:rowOff>123825</xdr:rowOff>
    </xdr:to>
    <xdr:sp macro="" textlink="">
      <xdr:nvSpPr>
        <xdr:cNvPr id="2" name="CaixaDeTexto 1"/>
        <xdr:cNvSpPr txBox="1"/>
      </xdr:nvSpPr>
      <xdr:spPr>
        <a:xfrm>
          <a:off x="428624" y="409576"/>
          <a:ext cx="7953375" cy="76199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Um profissional da construção  pretende fazer  uma churrasqueira  a partir de um modelo predeterminado. Neste momento,  precisa saber qual a medida  dos parâmetros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 e b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do triângulo retângulo, visto que o ângulo a modelo deve ser  de </a:t>
          </a:r>
          <a:r>
            <a:rPr lang="pt-BR" sz="1100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a°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para depois encontrar as demais medidas. A altura </a:t>
          </a:r>
          <a:r>
            <a:rPr lang="pt-BR" sz="1100">
              <a:solidFill>
                <a:srgbClr val="FF0000"/>
              </a:solidFill>
              <a:latin typeface="+mn-lt"/>
              <a:ea typeface="+mn-ea"/>
              <a:cs typeface="+mn-cs"/>
            </a:rPr>
            <a:t>“c"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uma medida conhecida, pois depende do espaço onde a churrasqueira será conhecida e corresponde a </a:t>
          </a:r>
          <a:r>
            <a:rPr lang="pt-BR" sz="1200" b="1">
              <a:solidFill>
                <a:srgbClr val="00B050"/>
              </a:solidFill>
              <a:latin typeface="+mn-lt"/>
              <a:ea typeface="+mn-ea"/>
              <a:cs typeface="+mn-cs"/>
            </a:rPr>
            <a:t>c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cm. </a:t>
          </a:r>
        </a:p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t-BR" sz="1800"/>
        </a:p>
      </xdr:txBody>
    </xdr:sp>
    <xdr:clientData/>
  </xdr:twoCellAnchor>
  <xdr:twoCellAnchor editAs="oneCell">
    <xdr:from>
      <xdr:col>2</xdr:col>
      <xdr:colOff>209550</xdr:colOff>
      <xdr:row>10</xdr:row>
      <xdr:rowOff>27213</xdr:rowOff>
    </xdr:from>
    <xdr:to>
      <xdr:col>4</xdr:col>
      <xdr:colOff>200025</xdr:colOff>
      <xdr:row>15</xdr:row>
      <xdr:rowOff>114298</xdr:rowOff>
    </xdr:to>
    <xdr:pic>
      <xdr:nvPicPr>
        <xdr:cNvPr id="4" name="Imagem 3" descr="triAzu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913163"/>
          <a:ext cx="685800" cy="1134835"/>
        </a:xfrm>
        <a:prstGeom prst="rect">
          <a:avLst/>
        </a:prstGeom>
      </xdr:spPr>
    </xdr:pic>
    <xdr:clientData/>
  </xdr:twoCellAnchor>
  <xdr:twoCellAnchor editAs="oneCell">
    <xdr:from>
      <xdr:col>15</xdr:col>
      <xdr:colOff>133349</xdr:colOff>
      <xdr:row>6</xdr:row>
      <xdr:rowOff>123825</xdr:rowOff>
    </xdr:from>
    <xdr:to>
      <xdr:col>17</xdr:col>
      <xdr:colOff>1123950</xdr:colOff>
      <xdr:row>16</xdr:row>
      <xdr:rowOff>38100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72074" y="1171575"/>
          <a:ext cx="2295526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</xdr:row>
      <xdr:rowOff>295274</xdr:rowOff>
    </xdr:from>
    <xdr:to>
      <xdr:col>17</xdr:col>
      <xdr:colOff>142874</xdr:colOff>
      <xdr:row>5</xdr:row>
      <xdr:rowOff>152400</xdr:rowOff>
    </xdr:to>
    <xdr:sp macro="" textlink="">
      <xdr:nvSpPr>
        <xdr:cNvPr id="2" name="CaixaDeTexto 1"/>
        <xdr:cNvSpPr txBox="1"/>
      </xdr:nvSpPr>
      <xdr:spPr>
        <a:xfrm>
          <a:off x="590549" y="495299"/>
          <a:ext cx="7553325" cy="7810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figura abaixo ilustra um tijolo refratário  para churrasqueiras. O tijolo tem 4 furos, que atravessam o tijolo todo  e  cada furo corresponde ao espaço ocupado por 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um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cilindro reto de diâmetro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igual a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terça parte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de sua altura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c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.Para fins de transporte, a transportadora quer saber o peso total da carga. Encontre o 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peso, em toneladas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M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 milheiros de tijolos, considerando que as dimensões a, b e c são respectivamente </a:t>
          </a:r>
          <a:r>
            <a:rPr lang="pt-BR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 cm,  b cm e </a:t>
          </a:r>
          <a:r>
            <a:rPr lang="pt-BR" sz="11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c cm e </a:t>
          </a:r>
          <a:r>
            <a:rPr lang="pt-BR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que a densidade do material maciço  é 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 kg/m³.</a:t>
          </a:r>
          <a:endParaRPr lang="pt-BR" sz="1800">
            <a:solidFill>
              <a:srgbClr val="FF0000"/>
            </a:solidFill>
          </a:endParaRPr>
        </a:p>
        <a:p>
          <a:endParaRPr lang="pt-BR" sz="1800"/>
        </a:p>
      </xdr:txBody>
    </xdr:sp>
    <xdr:clientData/>
  </xdr:twoCellAnchor>
  <xdr:twoCellAnchor editAs="oneCell">
    <xdr:from>
      <xdr:col>3</xdr:col>
      <xdr:colOff>0</xdr:colOff>
      <xdr:row>9</xdr:row>
      <xdr:rowOff>0</xdr:rowOff>
    </xdr:from>
    <xdr:to>
      <xdr:col>7</xdr:col>
      <xdr:colOff>57150</xdr:colOff>
      <xdr:row>13</xdr:row>
      <xdr:rowOff>41413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1647825"/>
          <a:ext cx="2286000" cy="993913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2</xdr:row>
      <xdr:rowOff>9526</xdr:rowOff>
    </xdr:from>
    <xdr:to>
      <xdr:col>17</xdr:col>
      <xdr:colOff>152400</xdr:colOff>
      <xdr:row>7</xdr:row>
      <xdr:rowOff>114300</xdr:rowOff>
    </xdr:to>
    <xdr:sp macro="" textlink="">
      <xdr:nvSpPr>
        <xdr:cNvPr id="2" name="CaixaDeTexto 1"/>
        <xdr:cNvSpPr txBox="1"/>
      </xdr:nvSpPr>
      <xdr:spPr>
        <a:xfrm>
          <a:off x="495299" y="371476"/>
          <a:ext cx="6981826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Um profissional da construção  pretende fazer  uma churrasqueira  a partir de um modelo predeterminado. Neste momento,  precisa saber qual a medida  dos parâmetros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 e b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do triângulo retângulo, visto que o ângulo</a:t>
          </a:r>
          <a:r>
            <a:rPr lang="pt-BR" sz="1100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 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modelo deve ser  de </a:t>
          </a:r>
          <a:r>
            <a:rPr lang="pt-BR" sz="1600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°,  para depois encontrar as demais medidas. A altura</a:t>
          </a:r>
          <a:r>
            <a:rPr lang="pt-BR" sz="110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“a”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uma medida conhecida, pois depende do espaço onde a churrasqueira será conhecida e corresponde a  </a:t>
          </a:r>
          <a:r>
            <a:rPr lang="pt-BR" sz="1400">
              <a:solidFill>
                <a:srgbClr val="00B0F0"/>
              </a:solidFill>
              <a:latin typeface="+mn-lt"/>
              <a:ea typeface="+mn-ea"/>
              <a:cs typeface="+mn-cs"/>
            </a:rPr>
            <a:t>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cm .</a:t>
          </a:r>
        </a:p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t-BR" sz="1800"/>
        </a:p>
      </xdr:txBody>
    </xdr:sp>
    <xdr:clientData/>
  </xdr:twoCellAnchor>
  <xdr:twoCellAnchor editAs="oneCell">
    <xdr:from>
      <xdr:col>14</xdr:col>
      <xdr:colOff>104775</xdr:colOff>
      <xdr:row>8</xdr:row>
      <xdr:rowOff>57150</xdr:rowOff>
    </xdr:from>
    <xdr:to>
      <xdr:col>16</xdr:col>
      <xdr:colOff>1352550</xdr:colOff>
      <xdr:row>17</xdr:row>
      <xdr:rowOff>85725</xdr:rowOff>
    </xdr:to>
    <xdr:pic>
      <xdr:nvPicPr>
        <xdr:cNvPr id="3" name="Imagem 2" descr="CHURRASQUEIRA.png"/>
        <xdr:cNvPicPr/>
      </xdr:nvPicPr>
      <xdr:blipFill>
        <a:blip xmlns:r="http://schemas.openxmlformats.org/officeDocument/2006/relationships" r:embed="rId1"/>
        <a:srcRect l="4364" t="32714" r="41818" b="36572"/>
        <a:stretch>
          <a:fillRect/>
        </a:stretch>
      </xdr:blipFill>
      <xdr:spPr>
        <a:xfrm>
          <a:off x="4762500" y="1057275"/>
          <a:ext cx="2143125" cy="16002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11</xdr:row>
      <xdr:rowOff>28575</xdr:rowOff>
    </xdr:from>
    <xdr:to>
      <xdr:col>3</xdr:col>
      <xdr:colOff>142875</xdr:colOff>
      <xdr:row>19</xdr:row>
      <xdr:rowOff>76199</xdr:rowOff>
    </xdr:to>
    <xdr:pic>
      <xdr:nvPicPr>
        <xdr:cNvPr id="4" name="Imagem 3" descr="triAzul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1838325"/>
          <a:ext cx="800100" cy="149542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19052</xdr:rowOff>
    </xdr:from>
    <xdr:to>
      <xdr:col>17</xdr:col>
      <xdr:colOff>895350</xdr:colOff>
      <xdr:row>3</xdr:row>
      <xdr:rowOff>238125</xdr:rowOff>
    </xdr:to>
    <xdr:sp macro="" textlink="">
      <xdr:nvSpPr>
        <xdr:cNvPr id="2" name="CaixaDeTexto 1"/>
        <xdr:cNvSpPr txBox="1"/>
      </xdr:nvSpPr>
      <xdr:spPr>
        <a:xfrm>
          <a:off x="219074" y="285752"/>
          <a:ext cx="6800851" cy="752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Considere a figura a seguir em que o ângulo 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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é </a:t>
          </a:r>
          <a:r>
            <a:rPr lang="pt-BR" sz="14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 33</a:t>
          </a:r>
          <a:r>
            <a:rPr lang="pt-BR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°</a:t>
          </a:r>
          <a:r>
            <a:rPr lang="pt-BR" sz="14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e a medida  de x = </a:t>
          </a:r>
          <a:r>
            <a:rPr lang="pt-BR" sz="1400" b="1">
              <a:solidFill>
                <a:srgbClr val="0070C0"/>
              </a:solidFill>
              <a:latin typeface="+mn-lt"/>
              <a:ea typeface="+mn-ea"/>
              <a:cs typeface="+mn-cs"/>
            </a:rPr>
            <a:t>6,5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metros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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y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</a:t>
          </a:r>
          <a:endParaRPr lang="pt-BR" sz="1400"/>
        </a:p>
      </xdr:txBody>
    </xdr:sp>
    <xdr:clientData/>
  </xdr:twoCellAnchor>
  <xdr:twoCellAnchor editAs="oneCell">
    <xdr:from>
      <xdr:col>0</xdr:col>
      <xdr:colOff>171450</xdr:colOff>
      <xdr:row>9</xdr:row>
      <xdr:rowOff>38511</xdr:rowOff>
    </xdr:from>
    <xdr:to>
      <xdr:col>4</xdr:col>
      <xdr:colOff>504824</xdr:colOff>
      <xdr:row>16</xdr:row>
      <xdr:rowOff>142874</xdr:rowOff>
    </xdr:to>
    <xdr:pic>
      <xdr:nvPicPr>
        <xdr:cNvPr id="7" name="Imagem 6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105436"/>
          <a:ext cx="1581149" cy="147596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180977</xdr:rowOff>
    </xdr:from>
    <xdr:to>
      <xdr:col>16</xdr:col>
      <xdr:colOff>38100</xdr:colOff>
      <xdr:row>4</xdr:row>
      <xdr:rowOff>266700</xdr:rowOff>
    </xdr:to>
    <xdr:sp macro="" textlink="">
      <xdr:nvSpPr>
        <xdr:cNvPr id="2" name="CaixaDeTexto 1"/>
        <xdr:cNvSpPr txBox="1"/>
      </xdr:nvSpPr>
      <xdr:spPr>
        <a:xfrm>
          <a:off x="257174" y="180977"/>
          <a:ext cx="6619876" cy="103822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Considere a figura a seguir em que o ângulo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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é </a:t>
          </a:r>
          <a:r>
            <a:rPr lang="pt-BR" sz="16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 </a:t>
          </a:r>
          <a:r>
            <a:rPr lang="pt-BR" sz="18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°</a:t>
          </a:r>
          <a:r>
            <a:rPr lang="pt-BR" sz="18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e a medida  de Y = </a:t>
          </a:r>
          <a:r>
            <a:rPr lang="pt-B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C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 metros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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</a:t>
          </a:r>
          <a:endParaRPr lang="pt-BR" sz="1600"/>
        </a:p>
      </xdr:txBody>
    </xdr:sp>
    <xdr:clientData/>
  </xdr:twoCellAnchor>
  <xdr:twoCellAnchor editAs="oneCell">
    <xdr:from>
      <xdr:col>0</xdr:col>
      <xdr:colOff>152400</xdr:colOff>
      <xdr:row>10</xdr:row>
      <xdr:rowOff>171449</xdr:rowOff>
    </xdr:from>
    <xdr:to>
      <xdr:col>4</xdr:col>
      <xdr:colOff>342899</xdr:colOff>
      <xdr:row>15</xdr:row>
      <xdr:rowOff>19049</xdr:rowOff>
    </xdr:to>
    <xdr:pic>
      <xdr:nvPicPr>
        <xdr:cNvPr id="3" name="Imagem 2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2790824"/>
          <a:ext cx="1600199" cy="11525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180978</xdr:rowOff>
    </xdr:from>
    <xdr:to>
      <xdr:col>17</xdr:col>
      <xdr:colOff>714375</xdr:colOff>
      <xdr:row>3</xdr:row>
      <xdr:rowOff>85726</xdr:rowOff>
    </xdr:to>
    <xdr:sp macro="" textlink="">
      <xdr:nvSpPr>
        <xdr:cNvPr id="4" name="CaixaDeTexto 3"/>
        <xdr:cNvSpPr txBox="1"/>
      </xdr:nvSpPr>
      <xdr:spPr>
        <a:xfrm>
          <a:off x="285749" y="180978"/>
          <a:ext cx="7915276" cy="647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Considere a figura a seguir em que o ângulo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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é </a:t>
          </a:r>
          <a:r>
            <a:rPr lang="pt-BR" sz="16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 </a:t>
          </a:r>
          <a:r>
            <a:rPr lang="pt-BR" sz="18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°</a:t>
          </a:r>
          <a:r>
            <a:rPr lang="pt-BR" sz="18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e a medida  de z = </a:t>
          </a:r>
          <a:r>
            <a:rPr lang="pt-B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C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 metros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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y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</a:t>
          </a:r>
        </a:p>
        <a:p>
          <a:endParaRPr lang="pt-BR" sz="1600"/>
        </a:p>
      </xdr:txBody>
    </xdr:sp>
    <xdr:clientData/>
  </xdr:twoCellAnchor>
  <xdr:twoCellAnchor editAs="oneCell">
    <xdr:from>
      <xdr:col>0</xdr:col>
      <xdr:colOff>66675</xdr:colOff>
      <xdr:row>8</xdr:row>
      <xdr:rowOff>219075</xdr:rowOff>
    </xdr:from>
    <xdr:to>
      <xdr:col>4</xdr:col>
      <xdr:colOff>457199</xdr:colOff>
      <xdr:row>15</xdr:row>
      <xdr:rowOff>85725</xdr:rowOff>
    </xdr:to>
    <xdr:pic>
      <xdr:nvPicPr>
        <xdr:cNvPr id="5" name="Imagem 4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590800"/>
          <a:ext cx="1600199" cy="16002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19052</xdr:rowOff>
    </xdr:from>
    <xdr:to>
      <xdr:col>17</xdr:col>
      <xdr:colOff>895350</xdr:colOff>
      <xdr:row>3</xdr:row>
      <xdr:rowOff>238125</xdr:rowOff>
    </xdr:to>
    <xdr:sp macro="" textlink="">
      <xdr:nvSpPr>
        <xdr:cNvPr id="4" name="CaixaDeTexto 3"/>
        <xdr:cNvSpPr txBox="1"/>
      </xdr:nvSpPr>
      <xdr:spPr>
        <a:xfrm>
          <a:off x="219074" y="285752"/>
          <a:ext cx="6800851" cy="7524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II</a:t>
          </a:r>
          <a:r>
            <a:rPr lang="pt-B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10 .1 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Considere a figura a seguir em que o ângulo </a:t>
          </a:r>
          <a:r>
            <a:rPr lang="pt-BR" sz="14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b</a:t>
          </a:r>
          <a:r>
            <a:rPr lang="pt-BR" sz="1400" b="1">
              <a:solidFill>
                <a:srgbClr val="FF0000"/>
              </a:solidFill>
              <a:latin typeface="+mn-lt"/>
              <a:ea typeface="+mn-ea"/>
              <a:cs typeface="+mn-cs"/>
            </a:rPr>
            <a:t>°=43,9°</a:t>
          </a:r>
          <a:r>
            <a:rPr lang="pt-BR" sz="14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e a medida  de x = </a:t>
          </a:r>
          <a:r>
            <a:rPr lang="pt-BR" sz="1400" b="1">
              <a:solidFill>
                <a:srgbClr val="0070C0"/>
              </a:solidFill>
              <a:latin typeface="+mn-lt"/>
              <a:ea typeface="+mn-ea"/>
              <a:cs typeface="+mn-cs"/>
            </a:rPr>
            <a:t>14,8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 metros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400" b="1">
              <a:solidFill>
                <a:schemeClr val="dk1"/>
              </a:solidFill>
              <a:latin typeface="Symbol" pitchFamily="18" charset="2"/>
              <a:ea typeface="+mn-ea"/>
              <a:cs typeface="+mn-cs"/>
              <a:sym typeface="Symbol"/>
            </a:rPr>
            <a:t>a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y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400" b="1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14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 </a:t>
          </a:r>
          <a:endParaRPr lang="pt-BR" sz="1400"/>
        </a:p>
      </xdr:txBody>
    </xdr:sp>
    <xdr:clientData/>
  </xdr:twoCellAnchor>
  <xdr:twoCellAnchor editAs="oneCell">
    <xdr:from>
      <xdr:col>0</xdr:col>
      <xdr:colOff>95250</xdr:colOff>
      <xdr:row>8</xdr:row>
      <xdr:rowOff>123825</xdr:rowOff>
    </xdr:from>
    <xdr:to>
      <xdr:col>5</xdr:col>
      <xdr:colOff>104775</xdr:colOff>
      <xdr:row>16</xdr:row>
      <xdr:rowOff>235541</xdr:rowOff>
    </xdr:to>
    <xdr:pic>
      <xdr:nvPicPr>
        <xdr:cNvPr id="5" name="Imagem 4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62150"/>
          <a:ext cx="1800225" cy="165476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95248</xdr:colOff>
      <xdr:row>0</xdr:row>
      <xdr:rowOff>238127</xdr:rowOff>
    </xdr:from>
    <xdr:to>
      <xdr:col>17</xdr:col>
      <xdr:colOff>114299</xdr:colOff>
      <xdr:row>5</xdr:row>
      <xdr:rowOff>9525</xdr:rowOff>
    </xdr:to>
    <xdr:sp macro="" textlink="">
      <xdr:nvSpPr>
        <xdr:cNvPr id="4" name="CaixaDeTexto 3"/>
        <xdr:cNvSpPr txBox="1"/>
      </xdr:nvSpPr>
      <xdr:spPr>
        <a:xfrm>
          <a:off x="304798" y="238127"/>
          <a:ext cx="7734301" cy="96202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Considere a figura a seguir em que o ângulo </a:t>
          </a:r>
          <a:r>
            <a:rPr lang="pt-BR" sz="18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b</a:t>
          </a:r>
          <a:r>
            <a:rPr lang="pt-B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°</a:t>
          </a:r>
          <a:r>
            <a:rPr lang="pt-BR" sz="1800">
              <a:solidFill>
                <a:srgbClr val="FF0000"/>
              </a:solidFill>
              <a:latin typeface="+mn-lt"/>
              <a:ea typeface="+mn-ea"/>
              <a:cs typeface="+mn-cs"/>
            </a:rPr>
            <a:t> =59,1°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e a medida  de Y = </a:t>
          </a:r>
          <a:r>
            <a:rPr lang="pt-B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6,8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metros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600" b="1">
              <a:solidFill>
                <a:schemeClr val="dk1"/>
              </a:solidFill>
              <a:latin typeface="Symbol" pitchFamily="18" charset="2"/>
              <a:ea typeface="+mn-ea"/>
              <a:cs typeface="+mn-cs"/>
              <a:sym typeface="Symbol"/>
            </a:rPr>
            <a:t>a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</a:t>
          </a:r>
          <a:endParaRPr lang="pt-BR" sz="1600"/>
        </a:p>
      </xdr:txBody>
    </xdr:sp>
    <xdr:clientData/>
  </xdr:twoCellAnchor>
  <xdr:twoCellAnchor editAs="oneCell">
    <xdr:from>
      <xdr:col>0</xdr:col>
      <xdr:colOff>142874</xdr:colOff>
      <xdr:row>8</xdr:row>
      <xdr:rowOff>228599</xdr:rowOff>
    </xdr:from>
    <xdr:to>
      <xdr:col>4</xdr:col>
      <xdr:colOff>638174</xdr:colOff>
      <xdr:row>16</xdr:row>
      <xdr:rowOff>28574</xdr:rowOff>
    </xdr:to>
    <xdr:pic>
      <xdr:nvPicPr>
        <xdr:cNvPr id="5" name="Imagem 4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rcRect l="7143" t="497"/>
        <a:stretch>
          <a:fillRect/>
        </a:stretch>
      </xdr:blipFill>
      <xdr:spPr>
        <a:xfrm>
          <a:off x="142874" y="2209799"/>
          <a:ext cx="1838325" cy="166687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180978</xdr:rowOff>
    </xdr:from>
    <xdr:to>
      <xdr:col>17</xdr:col>
      <xdr:colOff>714375</xdr:colOff>
      <xdr:row>3</xdr:row>
      <xdr:rowOff>85726</xdr:rowOff>
    </xdr:to>
    <xdr:sp macro="" textlink="">
      <xdr:nvSpPr>
        <xdr:cNvPr id="4" name="CaixaDeTexto 3"/>
        <xdr:cNvSpPr txBox="1"/>
      </xdr:nvSpPr>
      <xdr:spPr>
        <a:xfrm>
          <a:off x="285749" y="180978"/>
          <a:ext cx="7915276" cy="647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Considere a figura a seguir em que o ângulo </a:t>
          </a:r>
          <a:r>
            <a:rPr lang="pt-BR" sz="18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b</a:t>
          </a:r>
          <a:r>
            <a:rPr lang="pt-B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°</a:t>
          </a:r>
          <a:r>
            <a:rPr lang="pt-BR" sz="1800">
              <a:solidFill>
                <a:srgbClr val="FF0000"/>
              </a:solidFill>
              <a:latin typeface="+mn-lt"/>
              <a:ea typeface="+mn-ea"/>
              <a:cs typeface="+mn-cs"/>
            </a:rPr>
            <a:t> =60°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e a medida  de z = </a:t>
          </a:r>
          <a:r>
            <a:rPr lang="pt-B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10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 metros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600" b="1">
              <a:solidFill>
                <a:schemeClr val="dk1"/>
              </a:solidFill>
              <a:latin typeface="Symbol" pitchFamily="18" charset="2"/>
              <a:ea typeface="+mn-ea"/>
              <a:cs typeface="+mn-cs"/>
              <a:sym typeface="Symbol"/>
            </a:rPr>
            <a:t>a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y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</a:t>
          </a:r>
        </a:p>
        <a:p>
          <a:endParaRPr lang="pt-BR" sz="1600"/>
        </a:p>
      </xdr:txBody>
    </xdr:sp>
    <xdr:clientData/>
  </xdr:twoCellAnchor>
  <xdr:twoCellAnchor editAs="oneCell">
    <xdr:from>
      <xdr:col>0</xdr:col>
      <xdr:colOff>0</xdr:colOff>
      <xdr:row>9</xdr:row>
      <xdr:rowOff>57150</xdr:rowOff>
    </xdr:from>
    <xdr:to>
      <xdr:col>5</xdr:col>
      <xdr:colOff>361950</xdr:colOff>
      <xdr:row>15</xdr:row>
      <xdr:rowOff>238125</xdr:rowOff>
    </xdr:to>
    <xdr:pic>
      <xdr:nvPicPr>
        <xdr:cNvPr id="5" name="Imagem 4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0"/>
          <a:ext cx="1838325" cy="152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1191</xdr:rowOff>
    </xdr:from>
    <xdr:to>
      <xdr:col>8</xdr:col>
      <xdr:colOff>190500</xdr:colOff>
      <xdr:row>11</xdr:row>
      <xdr:rowOff>76200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44141"/>
          <a:ext cx="2600325" cy="1951434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19051</xdr:rowOff>
    </xdr:from>
    <xdr:to>
      <xdr:col>16</xdr:col>
      <xdr:colOff>1409700</xdr:colOff>
      <xdr:row>6</xdr:row>
      <xdr:rowOff>228600</xdr:rowOff>
    </xdr:to>
    <xdr:sp macro="" textlink="">
      <xdr:nvSpPr>
        <xdr:cNvPr id="2" name="CaixaDeTexto 1"/>
        <xdr:cNvSpPr txBox="1"/>
      </xdr:nvSpPr>
      <xdr:spPr>
        <a:xfrm>
          <a:off x="219074" y="228601"/>
          <a:ext cx="6867526" cy="18287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Muitos problemas relacionadas às engenharias envolvem cálculos que  em que as razões trigonométrica podem ser utilizadas, principalmente em situações relacionadas a formas arredondadas e/ou que envolvem medidas de ângulos.   Considere a figura a seguir em que o ângulo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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é </a:t>
          </a:r>
          <a:r>
            <a:rPr lang="pt-BR" sz="16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 </a:t>
          </a:r>
          <a:r>
            <a:rPr lang="pt-BR" sz="1800" b="1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800" b="1">
              <a:solidFill>
                <a:srgbClr val="FF0000"/>
              </a:solidFill>
              <a:latin typeface="+mn-lt"/>
              <a:ea typeface="+mn-ea"/>
              <a:cs typeface="+mn-cs"/>
            </a:rPr>
            <a:t>°</a:t>
          </a:r>
          <a:r>
            <a:rPr lang="pt-BR" sz="18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e a medida  de x = </a:t>
          </a:r>
          <a:r>
            <a:rPr lang="pt-BR" sz="1800" b="1">
              <a:solidFill>
                <a:srgbClr val="0070C0"/>
              </a:solidFill>
              <a:latin typeface="+mn-lt"/>
              <a:ea typeface="+mn-ea"/>
              <a:cs typeface="+mn-cs"/>
            </a:rPr>
            <a:t>x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 metros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.  Neste caso, após o arredondamento para 2 casas decimais, a medida do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ângulo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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em graus e o as medidas de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y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e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z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 em metros são respectivamente</a:t>
          </a:r>
          <a:endParaRPr lang="pt-BR" sz="1600"/>
        </a:p>
      </xdr:txBody>
    </xdr:sp>
    <xdr:clientData/>
  </xdr:twoCellAnchor>
  <xdr:twoCellAnchor editAs="oneCell">
    <xdr:from>
      <xdr:col>0</xdr:col>
      <xdr:colOff>161925</xdr:colOff>
      <xdr:row>11</xdr:row>
      <xdr:rowOff>66675</xdr:rowOff>
    </xdr:from>
    <xdr:to>
      <xdr:col>9</xdr:col>
      <xdr:colOff>361950</xdr:colOff>
      <xdr:row>17</xdr:row>
      <xdr:rowOff>142875</xdr:rowOff>
    </xdr:to>
    <xdr:pic>
      <xdr:nvPicPr>
        <xdr:cNvPr id="3" name="Imagem 2" descr="tricolor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3124200"/>
          <a:ext cx="1323975" cy="16764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2" name="Seta para baixo 1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3" name="Seta para baixo 2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4" name="Seta para baixo 3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5" name="Seta para baixo 4"/>
        <xdr:cNvSpPr/>
      </xdr:nvSpPr>
      <xdr:spPr>
        <a:xfrm rot="5400000">
          <a:off x="4702991" y="1240709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295274</xdr:rowOff>
    </xdr:from>
    <xdr:to>
      <xdr:col>14</xdr:col>
      <xdr:colOff>95250</xdr:colOff>
      <xdr:row>7</xdr:row>
      <xdr:rowOff>209550</xdr:rowOff>
    </xdr:to>
    <xdr:sp macro="" textlink="">
      <xdr:nvSpPr>
        <xdr:cNvPr id="2" name="CaixaDeTexto 1"/>
        <xdr:cNvSpPr txBox="1"/>
      </xdr:nvSpPr>
      <xdr:spPr>
        <a:xfrm>
          <a:off x="276225" y="295274"/>
          <a:ext cx="6343650" cy="12382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A figura abaixo ilustra um tijolo refratário  para churrasqueiras. O tijolo tem 4 furos, que atravessam o tijolo todo  e  cada furo corresponde ao espaço ocupado por um cilindro reto de diâmetro igual a terça  parte de sua altura. Para </a:t>
          </a:r>
          <a:r>
            <a:rPr lang="pt-BR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fins de transporte a transportadora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quer saber o peso total e o espaço total ocupado da carga. Encontre o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 </a:t>
          </a:r>
          <a:r>
            <a:rPr lang="pt-BR" sz="1100" b="1" i="0">
              <a:solidFill>
                <a:srgbClr val="FF0000"/>
              </a:solidFill>
              <a:latin typeface="+mn-lt"/>
              <a:ea typeface="+mn-ea"/>
              <a:cs typeface="+mn-cs"/>
            </a:rPr>
            <a:t>volume/espaço ocupado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de </a:t>
          </a:r>
          <a:r>
            <a:rPr lang="pt-BR" sz="1100" b="1" i="0">
              <a:solidFill>
                <a:srgbClr val="FF0000"/>
              </a:solidFill>
              <a:latin typeface="+mn-lt"/>
              <a:ea typeface="+mn-ea"/>
              <a:cs typeface="+mn-cs"/>
            </a:rPr>
            <a:t>M milheiro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dos tijolos, em m³, considerando que as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dimensões a, b e c </a:t>
          </a:r>
          <a:r>
            <a:rPr lang="pt-BR" sz="1100" b="0" i="0">
              <a:solidFill>
                <a:schemeClr val="tx1"/>
              </a:solidFill>
              <a:latin typeface="+mn-lt"/>
              <a:ea typeface="+mn-ea"/>
              <a:cs typeface="+mn-cs"/>
            </a:rPr>
            <a:t>são respectivamente: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 cm, b cm e c cm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 que a densidade do material maciço  é 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kg/m³</a:t>
          </a:r>
          <a:endParaRPr lang="pt-BR"/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800"/>
        </a:p>
      </xdr:txBody>
    </xdr:sp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304800</xdr:colOff>
      <xdr:row>10</xdr:row>
      <xdr:rowOff>95250</xdr:rowOff>
    </xdr:to>
    <xdr:sp macro="" textlink="">
      <xdr:nvSpPr>
        <xdr:cNvPr id="3" name="AutoShape 1" descr="https://moodle.unijui.edu.br/pluginfile.php/924/question/questiontext/preview/924/core_question/1394/1394/1.jpg"/>
        <xdr:cNvSpPr>
          <a:spLocks noChangeAspect="1" noChangeArrowheads="1"/>
        </xdr:cNvSpPr>
      </xdr:nvSpPr>
      <xdr:spPr bwMode="auto">
        <a:xfrm>
          <a:off x="7086600" y="17430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8</xdr:row>
      <xdr:rowOff>121588</xdr:rowOff>
    </xdr:from>
    <xdr:to>
      <xdr:col>7</xdr:col>
      <xdr:colOff>358140</xdr:colOff>
      <xdr:row>13</xdr:row>
      <xdr:rowOff>77276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" y="1790368"/>
          <a:ext cx="2156460" cy="976768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4" name="Seta para baixo 3"/>
        <xdr:cNvSpPr/>
      </xdr:nvSpPr>
      <xdr:spPr>
        <a:xfrm rot="5400000">
          <a:off x="25891354" y="1178796"/>
          <a:ext cx="166640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5" name="Seta para baixo 4"/>
        <xdr:cNvSpPr/>
      </xdr:nvSpPr>
      <xdr:spPr>
        <a:xfrm rot="5400000">
          <a:off x="4864916" y="1183559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52437</xdr:colOff>
      <xdr:row>6</xdr:row>
      <xdr:rowOff>100063</xdr:rowOff>
    </xdr:from>
    <xdr:to>
      <xdr:col>12</xdr:col>
      <xdr:colOff>461910</xdr:colOff>
      <xdr:row>7</xdr:row>
      <xdr:rowOff>66678</xdr:rowOff>
    </xdr:to>
    <xdr:sp macro="" textlink="">
      <xdr:nvSpPr>
        <xdr:cNvPr id="6" name="Seta para baixo 5"/>
        <xdr:cNvSpPr/>
      </xdr:nvSpPr>
      <xdr:spPr>
        <a:xfrm rot="5400000">
          <a:off x="4741091" y="1212134"/>
          <a:ext cx="176165" cy="409473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295274</xdr:rowOff>
    </xdr:from>
    <xdr:to>
      <xdr:col>13</xdr:col>
      <xdr:colOff>95250</xdr:colOff>
      <xdr:row>6</xdr:row>
      <xdr:rowOff>209550</xdr:rowOff>
    </xdr:to>
    <xdr:sp macro="" textlink="">
      <xdr:nvSpPr>
        <xdr:cNvPr id="2" name="CaixaDeTexto 1"/>
        <xdr:cNvSpPr txBox="1"/>
      </xdr:nvSpPr>
      <xdr:spPr>
        <a:xfrm>
          <a:off x="276225" y="295274"/>
          <a:ext cx="6477000" cy="15716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A figura abaixo ilustra um tijolo refratário  para churrasqueiras . O tijolo tem dois “buracos“, porém não é perfurado.    O "buraco"  corresponde ao espaço ocupado por um cilindro reto, com diâmetro e altura “d”. As dimensões  externas do tijolo são de axbxh.</a:t>
          </a:r>
          <a:endParaRPr lang="pt-BR" sz="1800"/>
        </a:p>
      </xdr:txBody>
    </xdr:sp>
    <xdr:clientData/>
  </xdr:twoCellAnchor>
  <xdr:twoCellAnchor editAs="oneCell">
    <xdr:from>
      <xdr:col>1</xdr:col>
      <xdr:colOff>85725</xdr:colOff>
      <xdr:row>11</xdr:row>
      <xdr:rowOff>0</xdr:rowOff>
    </xdr:from>
    <xdr:to>
      <xdr:col>5</xdr:col>
      <xdr:colOff>666750</xdr:colOff>
      <xdr:row>17</xdr:row>
      <xdr:rowOff>19050</xdr:rowOff>
    </xdr:to>
    <xdr:pic>
      <xdr:nvPicPr>
        <xdr:cNvPr id="3" name="Imagem 2" descr="tujolos2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2695575"/>
          <a:ext cx="2552700" cy="1123950"/>
        </a:xfrm>
        <a:prstGeom prst="rect">
          <a:avLst/>
        </a:prstGeom>
      </xdr:spPr>
    </xdr:pic>
    <xdr:clientData/>
  </xdr:twoCellAnchor>
  <xdr:twoCellAnchor>
    <xdr:from>
      <xdr:col>1</xdr:col>
      <xdr:colOff>9527</xdr:colOff>
      <xdr:row>7</xdr:row>
      <xdr:rowOff>19049</xdr:rowOff>
    </xdr:from>
    <xdr:to>
      <xdr:col>8</xdr:col>
      <xdr:colOff>847726</xdr:colOff>
      <xdr:row>9</xdr:row>
      <xdr:rowOff>295275</xdr:rowOff>
    </xdr:to>
    <xdr:sp macro="" textlink="">
      <xdr:nvSpPr>
        <xdr:cNvPr id="4" name="CaixaDeTexto 3"/>
        <xdr:cNvSpPr txBox="1"/>
      </xdr:nvSpPr>
      <xdr:spPr>
        <a:xfrm>
          <a:off x="314327" y="1495424"/>
          <a:ext cx="4181474" cy="8858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Use 3,14 para</a:t>
          </a:r>
          <a:r>
            <a:rPr lang="pt-BR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 valor de </a:t>
          </a:r>
          <a:r>
            <a:rPr lang="pt-BR" sz="1800" baseline="0">
              <a:solidFill>
                <a:schemeClr val="dk1"/>
              </a:solidFill>
              <a:latin typeface="Symbol" pitchFamily="18" charset="2"/>
              <a:ea typeface="+mn-ea"/>
              <a:cs typeface="+mn-cs"/>
            </a:rPr>
            <a:t>p</a:t>
          </a:r>
          <a:r>
            <a:rPr lang="pt-BR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 para e</a:t>
          </a:r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ncontrar a  massa específica  do tijolo  considerando  que as dimensões do tijolo são :</a:t>
          </a:r>
        </a:p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t-BR" sz="18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1</xdr:row>
      <xdr:rowOff>9526</xdr:rowOff>
    </xdr:from>
    <xdr:to>
      <xdr:col>16</xdr:col>
      <xdr:colOff>76200</xdr:colOff>
      <xdr:row>7</xdr:row>
      <xdr:rowOff>57150</xdr:rowOff>
    </xdr:to>
    <xdr:sp macro="" textlink="">
      <xdr:nvSpPr>
        <xdr:cNvPr id="2" name="CaixaDeTexto 1"/>
        <xdr:cNvSpPr txBox="1"/>
      </xdr:nvSpPr>
      <xdr:spPr>
        <a:xfrm>
          <a:off x="209549" y="219076"/>
          <a:ext cx="6905626" cy="15620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Um profissional da construção  pretende fazer  uma churrasqueira  a partir de um modelo predeterminado. Neste momento,  precisa saber qual a medida  dos parâmetros </a:t>
          </a:r>
          <a:r>
            <a:rPr lang="pt-BR" sz="1600" b="1">
              <a:solidFill>
                <a:schemeClr val="dk1"/>
              </a:solidFill>
              <a:latin typeface="+mn-lt"/>
              <a:ea typeface="+mn-ea"/>
              <a:cs typeface="+mn-cs"/>
            </a:rPr>
            <a:t>b e c 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do triângulo retângulo, visto que o ângulo modelo deve ser  de  </a:t>
          </a:r>
          <a:r>
            <a:rPr lang="pt-BR" sz="1800">
              <a:solidFill>
                <a:srgbClr val="FF0000"/>
              </a:solidFill>
              <a:latin typeface="Symbol" pitchFamily="18" charset="2"/>
              <a:ea typeface="+mn-ea"/>
              <a:cs typeface="+mn-cs"/>
            </a:rPr>
            <a:t>a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 graus ,  para depois encontrar as demais medidas. A altura é uma medida conhecida, pois depende do espaço onde a churrasqueira será conhecida e corresponde a </a:t>
          </a:r>
          <a:r>
            <a:rPr lang="pt-BR" sz="180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pt-BR" sz="2000">
              <a:solidFill>
                <a:srgbClr val="0070C0"/>
              </a:solidFill>
              <a:latin typeface="+mn-lt"/>
              <a:ea typeface="+mn-ea"/>
              <a:cs typeface="+mn-cs"/>
            </a:rPr>
            <a:t>a</a:t>
          </a:r>
          <a:r>
            <a:rPr lang="pt-BR" sz="1600">
              <a:solidFill>
                <a:schemeClr val="dk1"/>
              </a:solidFill>
              <a:latin typeface="+mn-lt"/>
              <a:ea typeface="+mn-ea"/>
              <a:cs typeface="+mn-cs"/>
            </a:rPr>
            <a:t>cm. </a:t>
          </a:r>
        </a:p>
        <a:p>
          <a:r>
            <a:rPr lang="pt-B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t-BR" sz="1800"/>
        </a:p>
      </xdr:txBody>
    </xdr:sp>
    <xdr:clientData/>
  </xdr:twoCellAnchor>
  <xdr:twoCellAnchor editAs="oneCell">
    <xdr:from>
      <xdr:col>5</xdr:col>
      <xdr:colOff>200024</xdr:colOff>
      <xdr:row>6</xdr:row>
      <xdr:rowOff>123825</xdr:rowOff>
    </xdr:from>
    <xdr:to>
      <xdr:col>9</xdr:col>
      <xdr:colOff>257175</xdr:colOff>
      <xdr:row>11</xdr:row>
      <xdr:rowOff>85725</xdr:rowOff>
    </xdr:to>
    <xdr:pic>
      <xdr:nvPicPr>
        <xdr:cNvPr id="3" name="Imagem 2" descr="CHURRASQUEIRA.png"/>
        <xdr:cNvPicPr/>
      </xdr:nvPicPr>
      <xdr:blipFill>
        <a:blip xmlns:r="http://schemas.openxmlformats.org/officeDocument/2006/relationships" r:embed="rId1"/>
        <a:srcRect l="4364" t="32714" r="41818" b="36572"/>
        <a:stretch>
          <a:fillRect/>
        </a:stretch>
      </xdr:blipFill>
      <xdr:spPr>
        <a:xfrm>
          <a:off x="2171699" y="1638300"/>
          <a:ext cx="1266826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11</xdr:row>
      <xdr:rowOff>28575</xdr:rowOff>
    </xdr:from>
    <xdr:to>
      <xdr:col>2</xdr:col>
      <xdr:colOff>180975</xdr:colOff>
      <xdr:row>17</xdr:row>
      <xdr:rowOff>152399</xdr:rowOff>
    </xdr:to>
    <xdr:pic>
      <xdr:nvPicPr>
        <xdr:cNvPr id="8" name="Imagem 7" descr="triAzul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" y="2514600"/>
          <a:ext cx="800100" cy="141922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8</xdr:row>
      <xdr:rowOff>133351</xdr:rowOff>
    </xdr:from>
    <xdr:to>
      <xdr:col>5</xdr:col>
      <xdr:colOff>152400</xdr:colOff>
      <xdr:row>9</xdr:row>
      <xdr:rowOff>76200</xdr:rowOff>
    </xdr:to>
    <xdr:cxnSp macro="">
      <xdr:nvCxnSpPr>
        <xdr:cNvPr id="3" name="Conector de seta reta 2"/>
        <xdr:cNvCxnSpPr/>
      </xdr:nvCxnSpPr>
      <xdr:spPr>
        <a:xfrm flipV="1">
          <a:off x="1619250" y="1647826"/>
          <a:ext cx="857250" cy="1714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8</xdr:row>
      <xdr:rowOff>152400</xdr:rowOff>
    </xdr:from>
    <xdr:to>
      <xdr:col>5</xdr:col>
      <xdr:colOff>180975</xdr:colOff>
      <xdr:row>9</xdr:row>
      <xdr:rowOff>133350</xdr:rowOff>
    </xdr:to>
    <xdr:cxnSp macro="">
      <xdr:nvCxnSpPr>
        <xdr:cNvPr id="5" name="Conector de seta reta 4"/>
        <xdr:cNvCxnSpPr/>
      </xdr:nvCxnSpPr>
      <xdr:spPr>
        <a:xfrm>
          <a:off x="1562100" y="1666875"/>
          <a:ext cx="942975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8</xdr:row>
      <xdr:rowOff>133351</xdr:rowOff>
    </xdr:from>
    <xdr:to>
      <xdr:col>5</xdr:col>
      <xdr:colOff>152400</xdr:colOff>
      <xdr:row>9</xdr:row>
      <xdr:rowOff>95250</xdr:rowOff>
    </xdr:to>
    <xdr:cxnSp macro="">
      <xdr:nvCxnSpPr>
        <xdr:cNvPr id="2" name="Conector de seta reta 1"/>
        <xdr:cNvCxnSpPr/>
      </xdr:nvCxnSpPr>
      <xdr:spPr>
        <a:xfrm flipV="1">
          <a:off x="1857375" y="1866901"/>
          <a:ext cx="704850" cy="1904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8</xdr:row>
      <xdr:rowOff>114300</xdr:rowOff>
    </xdr:from>
    <xdr:to>
      <xdr:col>5</xdr:col>
      <xdr:colOff>180975</xdr:colOff>
      <xdr:row>9</xdr:row>
      <xdr:rowOff>133350</xdr:rowOff>
    </xdr:to>
    <xdr:cxnSp macro="">
      <xdr:nvCxnSpPr>
        <xdr:cNvPr id="3" name="Conector de seta reta 2"/>
        <xdr:cNvCxnSpPr/>
      </xdr:nvCxnSpPr>
      <xdr:spPr>
        <a:xfrm>
          <a:off x="1790700" y="1847850"/>
          <a:ext cx="8001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9</xdr:col>
      <xdr:colOff>28575</xdr:colOff>
      <xdr:row>4</xdr:row>
      <xdr:rowOff>1000125</xdr:rowOff>
    </xdr:to>
    <xdr:sp macro="" textlink="">
      <xdr:nvSpPr>
        <xdr:cNvPr id="2" name="CaixaDeTexto 1"/>
        <xdr:cNvSpPr txBox="1"/>
      </xdr:nvSpPr>
      <xdr:spPr>
        <a:xfrm>
          <a:off x="219075" y="876300"/>
          <a:ext cx="6677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 Registre os cálculos aqui:</a:t>
          </a:r>
        </a:p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0</xdr:col>
      <xdr:colOff>314325</xdr:colOff>
      <xdr:row>10</xdr:row>
      <xdr:rowOff>200025</xdr:rowOff>
    </xdr:from>
    <xdr:to>
      <xdr:col>9</xdr:col>
      <xdr:colOff>28575</xdr:colOff>
      <xdr:row>10</xdr:row>
      <xdr:rowOff>1209675</xdr:rowOff>
    </xdr:to>
    <xdr:sp macro="" textlink="">
      <xdr:nvSpPr>
        <xdr:cNvPr id="3" name="CaixaDeTexto 2"/>
        <xdr:cNvSpPr txBox="1"/>
      </xdr:nvSpPr>
      <xdr:spPr>
        <a:xfrm>
          <a:off x="219075" y="1057275"/>
          <a:ext cx="66770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  <a:p>
          <a:endParaRPr lang="pt-BR" sz="110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8</xdr:row>
      <xdr:rowOff>133351</xdr:rowOff>
    </xdr:from>
    <xdr:to>
      <xdr:col>5</xdr:col>
      <xdr:colOff>152400</xdr:colOff>
      <xdr:row>9</xdr:row>
      <xdr:rowOff>76200</xdr:rowOff>
    </xdr:to>
    <xdr:cxnSp macro="">
      <xdr:nvCxnSpPr>
        <xdr:cNvPr id="2" name="Conector de seta reta 1"/>
        <xdr:cNvCxnSpPr/>
      </xdr:nvCxnSpPr>
      <xdr:spPr>
        <a:xfrm flipV="1">
          <a:off x="1619250" y="1647826"/>
          <a:ext cx="857250" cy="1714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8</xdr:row>
      <xdr:rowOff>152400</xdr:rowOff>
    </xdr:from>
    <xdr:to>
      <xdr:col>5</xdr:col>
      <xdr:colOff>180975</xdr:colOff>
      <xdr:row>9</xdr:row>
      <xdr:rowOff>133350</xdr:rowOff>
    </xdr:to>
    <xdr:cxnSp macro="">
      <xdr:nvCxnSpPr>
        <xdr:cNvPr id="3" name="Conector de seta reta 2"/>
        <xdr:cNvCxnSpPr/>
      </xdr:nvCxnSpPr>
      <xdr:spPr>
        <a:xfrm>
          <a:off x="1562100" y="1666875"/>
          <a:ext cx="942975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8</xdr:row>
      <xdr:rowOff>133351</xdr:rowOff>
    </xdr:from>
    <xdr:to>
      <xdr:col>5</xdr:col>
      <xdr:colOff>152400</xdr:colOff>
      <xdr:row>9</xdr:row>
      <xdr:rowOff>95250</xdr:rowOff>
    </xdr:to>
    <xdr:cxnSp macro="">
      <xdr:nvCxnSpPr>
        <xdr:cNvPr id="2" name="Conector de seta reta 1"/>
        <xdr:cNvCxnSpPr/>
      </xdr:nvCxnSpPr>
      <xdr:spPr>
        <a:xfrm flipV="1">
          <a:off x="1857375" y="1828801"/>
          <a:ext cx="704850" cy="1904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8</xdr:row>
      <xdr:rowOff>114300</xdr:rowOff>
    </xdr:from>
    <xdr:to>
      <xdr:col>5</xdr:col>
      <xdr:colOff>180975</xdr:colOff>
      <xdr:row>9</xdr:row>
      <xdr:rowOff>133350</xdr:rowOff>
    </xdr:to>
    <xdr:cxnSp macro="">
      <xdr:nvCxnSpPr>
        <xdr:cNvPr id="3" name="Conector de seta reta 2"/>
        <xdr:cNvCxnSpPr/>
      </xdr:nvCxnSpPr>
      <xdr:spPr>
        <a:xfrm>
          <a:off x="1790700" y="1809750"/>
          <a:ext cx="800100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9</xdr:col>
      <xdr:colOff>28575</xdr:colOff>
      <xdr:row>4</xdr:row>
      <xdr:rowOff>1000125</xdr:rowOff>
    </xdr:to>
    <xdr:sp macro="" textlink="">
      <xdr:nvSpPr>
        <xdr:cNvPr id="2" name="CaixaDeTexto 1"/>
        <xdr:cNvSpPr txBox="1"/>
      </xdr:nvSpPr>
      <xdr:spPr>
        <a:xfrm>
          <a:off x="219075" y="876300"/>
          <a:ext cx="667702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 Registre os cálculos aqui:</a:t>
          </a:r>
        </a:p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1</xdr:col>
      <xdr:colOff>19050</xdr:colOff>
      <xdr:row>10</xdr:row>
      <xdr:rowOff>38100</xdr:rowOff>
    </xdr:from>
    <xdr:to>
      <xdr:col>10</xdr:col>
      <xdr:colOff>0</xdr:colOff>
      <xdr:row>10</xdr:row>
      <xdr:rowOff>1285875</xdr:rowOff>
    </xdr:to>
    <xdr:sp macro="" textlink="">
      <xdr:nvSpPr>
        <xdr:cNvPr id="3" name="CaixaDeTexto 2"/>
        <xdr:cNvSpPr txBox="1"/>
      </xdr:nvSpPr>
      <xdr:spPr>
        <a:xfrm>
          <a:off x="238125" y="3019425"/>
          <a:ext cx="6677025" cy="12477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 Registre os cálculos aqui:</a:t>
          </a:r>
        </a:p>
        <a:p>
          <a:endParaRPr lang="pt-BR" sz="1100"/>
        </a:p>
        <a:p>
          <a:endParaRPr lang="pt-BR" sz="110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5</xdr:row>
      <xdr:rowOff>76199</xdr:rowOff>
    </xdr:from>
    <xdr:to>
      <xdr:col>9</xdr:col>
      <xdr:colOff>19051</xdr:colOff>
      <xdr:row>5</xdr:row>
      <xdr:rowOff>1285874</xdr:rowOff>
    </xdr:to>
    <xdr:sp macro="" textlink="">
      <xdr:nvSpPr>
        <xdr:cNvPr id="2" name="CaixaDeTexto 1"/>
        <xdr:cNvSpPr txBox="1"/>
      </xdr:nvSpPr>
      <xdr:spPr>
        <a:xfrm>
          <a:off x="209551" y="1485899"/>
          <a:ext cx="6191250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 Registre os cálculos aqui:</a:t>
          </a:r>
        </a:p>
        <a:p>
          <a:endParaRPr lang="pt-BR" sz="1100"/>
        </a:p>
        <a:p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295274</xdr:rowOff>
    </xdr:from>
    <xdr:to>
      <xdr:col>14</xdr:col>
      <xdr:colOff>95250</xdr:colOff>
      <xdr:row>7</xdr:row>
      <xdr:rowOff>209550</xdr:rowOff>
    </xdr:to>
    <xdr:sp macro="" textlink="">
      <xdr:nvSpPr>
        <xdr:cNvPr id="5" name="CaixaDeTexto 4"/>
        <xdr:cNvSpPr txBox="1"/>
      </xdr:nvSpPr>
      <xdr:spPr>
        <a:xfrm>
          <a:off x="276225" y="295274"/>
          <a:ext cx="6343650" cy="12382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figura abaixo ilustra um tijolo refratário  para churrasqueiras. O tijolo tem 3 furos  e  cada furo corresponde ao espaço ocupado por um prisma, onde a base é um triângulo equilátero, cujo lado mede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1/4 da medida da largura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do tijolo e a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altura do prisma é igual a altura do tijolo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,obviamente.</a:t>
          </a: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Para fins </a:t>
          </a:r>
          <a:r>
            <a:rPr lang="pt-BR" sz="1100" b="0" i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de transporte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transportadora quer saber o peso total  e o espaço total ocupado da carga.</a:t>
          </a: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Encontre o </a:t>
          </a:r>
          <a:r>
            <a:rPr lang="pt-BR" sz="1100" b="1" i="0">
              <a:solidFill>
                <a:srgbClr val="0070C0"/>
              </a:solidFill>
              <a:latin typeface="+mn-lt"/>
              <a:ea typeface="+mn-ea"/>
              <a:cs typeface="+mn-cs"/>
            </a:rPr>
            <a:t>volume</a:t>
          </a:r>
          <a:r>
            <a:rPr lang="pt-BR" sz="1100" b="0" i="0">
              <a:solidFill>
                <a:srgbClr val="0070C0"/>
              </a:solidFill>
              <a:latin typeface="+mn-lt"/>
              <a:ea typeface="+mn-ea"/>
              <a:cs typeface="+mn-cs"/>
            </a:rPr>
            <a:t> de 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M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milheiros do tijolos, em  m³, considerando que as dimensões a, b e c são respectivamente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acm, bcm, c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cm e que a densidade do material maciço  é de d kg/m³.</a:t>
          </a:r>
        </a:p>
        <a:p>
          <a:endParaRPr lang="pt-B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800"/>
        </a:p>
      </xdr:txBody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304800</xdr:colOff>
      <xdr:row>25</xdr:row>
      <xdr:rowOff>104775</xdr:rowOff>
    </xdr:to>
    <xdr:sp macro="" textlink="">
      <xdr:nvSpPr>
        <xdr:cNvPr id="5121" name="AutoShape 1" descr="https://moodle.unijui.edu.br/pluginfile.php/924/question/questiontext/2908/1/1397/2.1.jpg"/>
        <xdr:cNvSpPr>
          <a:spLocks noChangeAspect="1" noChangeArrowheads="1"/>
        </xdr:cNvSpPr>
      </xdr:nvSpPr>
      <xdr:spPr bwMode="auto">
        <a:xfrm>
          <a:off x="5857875" y="4619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333376</xdr:colOff>
      <xdr:row>8</xdr:row>
      <xdr:rowOff>19051</xdr:rowOff>
    </xdr:from>
    <xdr:to>
      <xdr:col>8</xdr:col>
      <xdr:colOff>260291</xdr:colOff>
      <xdr:row>13</xdr:row>
      <xdr:rowOff>123826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1" y="1552576"/>
          <a:ext cx="3060640" cy="11430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676275</xdr:colOff>
      <xdr:row>15</xdr:row>
      <xdr:rowOff>180975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58225" y="1790700"/>
          <a:ext cx="542925" cy="13620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152400</xdr:rowOff>
        </xdr:from>
        <xdr:to>
          <xdr:col>20</xdr:col>
          <xdr:colOff>411480</xdr:colOff>
          <xdr:row>9</xdr:row>
          <xdr:rowOff>76200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76200</xdr:colOff>
      <xdr:row>4</xdr:row>
      <xdr:rowOff>771525</xdr:rowOff>
    </xdr:to>
    <xdr:sp macro="" textlink="">
      <xdr:nvSpPr>
        <xdr:cNvPr id="2" name="CaixaDeTexto 1"/>
        <xdr:cNvSpPr txBox="1"/>
      </xdr:nvSpPr>
      <xdr:spPr>
        <a:xfrm>
          <a:off x="342900" y="1076325"/>
          <a:ext cx="6381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 Registre os cálculos aqui:</a:t>
          </a:r>
        </a:p>
        <a:p>
          <a:endParaRPr lang="pt-BR" sz="1100"/>
        </a:p>
        <a:p>
          <a:endParaRPr lang="pt-BR" sz="1100"/>
        </a:p>
      </xdr:txBody>
    </xdr:sp>
    <xdr:clientData/>
  </xdr:twoCellAnchor>
  <xdr:twoCellAnchor>
    <xdr:from>
      <xdr:col>1</xdr:col>
      <xdr:colOff>28575</xdr:colOff>
      <xdr:row>9</xdr:row>
      <xdr:rowOff>95250</xdr:rowOff>
    </xdr:from>
    <xdr:to>
      <xdr:col>9</xdr:col>
      <xdr:colOff>104775</xdr:colOff>
      <xdr:row>9</xdr:row>
      <xdr:rowOff>1095375</xdr:rowOff>
    </xdr:to>
    <xdr:sp macro="" textlink="">
      <xdr:nvSpPr>
        <xdr:cNvPr id="3" name="CaixaDeTexto 2"/>
        <xdr:cNvSpPr txBox="1"/>
      </xdr:nvSpPr>
      <xdr:spPr>
        <a:xfrm>
          <a:off x="371475" y="2886075"/>
          <a:ext cx="63817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 Registre os cálculos aqui:</a:t>
          </a:r>
        </a:p>
        <a:p>
          <a:endParaRPr lang="pt-BR" sz="1100"/>
        </a:p>
        <a:p>
          <a:endParaRPr lang="pt-BR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25</xdr:row>
      <xdr:rowOff>219075</xdr:rowOff>
    </xdr:from>
    <xdr:to>
      <xdr:col>12</xdr:col>
      <xdr:colOff>19050</xdr:colOff>
      <xdr:row>26</xdr:row>
      <xdr:rowOff>123825</xdr:rowOff>
    </xdr:to>
    <xdr:cxnSp macro="">
      <xdr:nvCxnSpPr>
        <xdr:cNvPr id="3" name="Conector de seta reta 2"/>
        <xdr:cNvCxnSpPr/>
      </xdr:nvCxnSpPr>
      <xdr:spPr>
        <a:xfrm flipH="1" flipV="1">
          <a:off x="3562350" y="5581650"/>
          <a:ext cx="600075" cy="133350"/>
        </a:xfrm>
        <a:prstGeom prst="straightConnector1">
          <a:avLst/>
        </a:prstGeom>
        <a:ln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25</xdr:row>
      <xdr:rowOff>219075</xdr:rowOff>
    </xdr:from>
    <xdr:to>
      <xdr:col>9</xdr:col>
      <xdr:colOff>38101</xdr:colOff>
      <xdr:row>26</xdr:row>
      <xdr:rowOff>190500</xdr:rowOff>
    </xdr:to>
    <xdr:cxnSp macro="">
      <xdr:nvCxnSpPr>
        <xdr:cNvPr id="5" name="Conector de seta reta 4"/>
        <xdr:cNvCxnSpPr/>
      </xdr:nvCxnSpPr>
      <xdr:spPr>
        <a:xfrm flipH="1">
          <a:off x="2971800" y="5581650"/>
          <a:ext cx="295276" cy="200025"/>
        </a:xfrm>
        <a:prstGeom prst="straightConnector1">
          <a:avLst/>
        </a:prstGeom>
        <a:noFill/>
        <a:ln w="9525" cap="flat" cmpd="sng" algn="ctr">
          <a:solidFill>
            <a:sysClr val="window" lastClr="FFFFFF"/>
          </a:solidFill>
          <a:prstDash val="solid"/>
          <a:tailEnd type="arrow"/>
        </a:ln>
        <a:effectLst/>
      </xdr:spPr>
    </xdr:cxnSp>
    <xdr:clientData/>
  </xdr:twoCellAnchor>
  <xdr:twoCellAnchor>
    <xdr:from>
      <xdr:col>10</xdr:col>
      <xdr:colOff>247650</xdr:colOff>
      <xdr:row>50</xdr:row>
      <xdr:rowOff>9525</xdr:rowOff>
    </xdr:from>
    <xdr:to>
      <xdr:col>12</xdr:col>
      <xdr:colOff>95250</xdr:colOff>
      <xdr:row>50</xdr:row>
      <xdr:rowOff>161925</xdr:rowOff>
    </xdr:to>
    <xdr:cxnSp macro="">
      <xdr:nvCxnSpPr>
        <xdr:cNvPr id="10" name="Conector de seta reta 9"/>
        <xdr:cNvCxnSpPr/>
      </xdr:nvCxnSpPr>
      <xdr:spPr>
        <a:xfrm flipH="1" flipV="1">
          <a:off x="3781425" y="10496550"/>
          <a:ext cx="457200" cy="152400"/>
        </a:xfrm>
        <a:prstGeom prst="straightConnector1">
          <a:avLst/>
        </a:prstGeom>
        <a:ln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85726</xdr:colOff>
      <xdr:row>72</xdr:row>
      <xdr:rowOff>209551</xdr:rowOff>
    </xdr:from>
    <xdr:to>
      <xdr:col>12</xdr:col>
      <xdr:colOff>352425</xdr:colOff>
      <xdr:row>73</xdr:row>
      <xdr:rowOff>104775</xdr:rowOff>
    </xdr:to>
    <xdr:cxnSp macro="">
      <xdr:nvCxnSpPr>
        <xdr:cNvPr id="12" name="Conector de seta reta 11"/>
        <xdr:cNvCxnSpPr/>
      </xdr:nvCxnSpPr>
      <xdr:spPr>
        <a:xfrm flipH="1" flipV="1">
          <a:off x="4010026" y="14754226"/>
          <a:ext cx="571499" cy="123824"/>
        </a:xfrm>
        <a:prstGeom prst="straightConnector1">
          <a:avLst/>
        </a:prstGeom>
        <a:ln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1</xdr:row>
      <xdr:rowOff>276224</xdr:rowOff>
    </xdr:from>
    <xdr:to>
      <xdr:col>14</xdr:col>
      <xdr:colOff>581025</xdr:colOff>
      <xdr:row>7</xdr:row>
      <xdr:rowOff>28575</xdr:rowOff>
    </xdr:to>
    <xdr:sp macro="" textlink="">
      <xdr:nvSpPr>
        <xdr:cNvPr id="2" name="CaixaDeTexto 1"/>
        <xdr:cNvSpPr txBox="1"/>
      </xdr:nvSpPr>
      <xdr:spPr>
        <a:xfrm>
          <a:off x="476249" y="476249"/>
          <a:ext cx="6858001" cy="10763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figura abaixo ilustra um tijolo refratário  para churrasqueiras. O tijolo tem 3 furos  e  cada furo corresponde ao espaço ocupado por um prisma, onde a base é um triângulo equilátero, cujo lado mede 1/4 da medida da largura do tijolo e a altura do prisma é igual a altura do tijolo,obviamente.    Para fins de transporte a transportadora que saber o peso total da carga. Encontre o 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peso, em toneladas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3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milheiros de tijolos, considerando que as dimensões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a, b  e c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são respectivamente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cm,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b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cm 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c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cm e que a densidade do material maciço  é 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d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kg/m³.</a:t>
          </a:r>
        </a:p>
        <a:p>
          <a:endParaRPr lang="pt-BR" sz="1800"/>
        </a:p>
      </xdr:txBody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304800</xdr:colOff>
      <xdr:row>25</xdr:row>
      <xdr:rowOff>104775</xdr:rowOff>
    </xdr:to>
    <xdr:sp macro="" textlink="">
      <xdr:nvSpPr>
        <xdr:cNvPr id="3" name="AutoShape 1" descr="https://moodle.unijui.edu.br/pluginfile.php/924/question/questiontext/2908/1/1397/2.1.jpg"/>
        <xdr:cNvSpPr>
          <a:spLocks noChangeAspect="1" noChangeArrowheads="1"/>
        </xdr:cNvSpPr>
      </xdr:nvSpPr>
      <xdr:spPr bwMode="auto">
        <a:xfrm>
          <a:off x="5857875" y="45529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200027</xdr:colOff>
      <xdr:row>7</xdr:row>
      <xdr:rowOff>9526</xdr:rowOff>
    </xdr:from>
    <xdr:to>
      <xdr:col>8</xdr:col>
      <xdr:colOff>133350</xdr:colOff>
      <xdr:row>12</xdr:row>
      <xdr:rowOff>152401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0052" y="1333501"/>
          <a:ext cx="3067048" cy="1143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723900</xdr:colOff>
      <xdr:row>8</xdr:row>
      <xdr:rowOff>180975</xdr:rowOff>
    </xdr:from>
    <xdr:to>
      <xdr:col>15</xdr:col>
      <xdr:colOff>342900</xdr:colOff>
      <xdr:row>13</xdr:row>
      <xdr:rowOff>190499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48525" y="1704975"/>
          <a:ext cx="466725" cy="100964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83820</xdr:colOff>
          <xdr:row>3</xdr:row>
          <xdr:rowOff>129540</xdr:rowOff>
        </xdr:from>
        <xdr:to>
          <xdr:col>19</xdr:col>
          <xdr:colOff>304800</xdr:colOff>
          <xdr:row>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464820</xdr:colOff>
          <xdr:row>8</xdr:row>
          <xdr:rowOff>0</xdr:rowOff>
        </xdr:from>
        <xdr:to>
          <xdr:col>10</xdr:col>
          <xdr:colOff>708660</xdr:colOff>
          <xdr:row>9</xdr:row>
          <xdr:rowOff>38100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2</xdr:row>
          <xdr:rowOff>30480</xdr:rowOff>
        </xdr:from>
        <xdr:to>
          <xdr:col>15</xdr:col>
          <xdr:colOff>411480</xdr:colOff>
          <xdr:row>3</xdr:row>
          <xdr:rowOff>137160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323849</xdr:rowOff>
    </xdr:from>
    <xdr:to>
      <xdr:col>14</xdr:col>
      <xdr:colOff>428625</xdr:colOff>
      <xdr:row>7</xdr:row>
      <xdr:rowOff>76200</xdr:rowOff>
    </xdr:to>
    <xdr:sp macro="" textlink="">
      <xdr:nvSpPr>
        <xdr:cNvPr id="2" name="CaixaDeTexto 1"/>
        <xdr:cNvSpPr txBox="1"/>
      </xdr:nvSpPr>
      <xdr:spPr>
        <a:xfrm>
          <a:off x="533400" y="523874"/>
          <a:ext cx="7781925" cy="10763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A figura abaixo ilustra um tijolo refratário  para churrasqueiras. O tijolo tem 3 furos  e  cada furo corresponde ao espaço ocupado por um prisma, onde a base é um triângulo equilátero, cujo lado mede 1/4 da medida da largura do tijolo e a altura do prisma é igual a altura do tijolo,obviamente. Para fins de transporte a transportadora que saber o peso total da carga. Encontre o 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peso, em toneladas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 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M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milheiros de tijolos, considerando que as dimensões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a, b e c 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são respectivamente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a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cm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,  b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cm 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c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cm e que a densidade do material maciço  é de </a:t>
          </a:r>
          <a:r>
            <a:rPr lang="pt-BR" sz="1100" b="0" i="0">
              <a:solidFill>
                <a:srgbClr val="FF0000"/>
              </a:solidFill>
              <a:latin typeface="+mn-lt"/>
              <a:ea typeface="+mn-ea"/>
              <a:cs typeface="+mn-cs"/>
            </a:rPr>
            <a:t>1732</a:t>
          </a:r>
          <a:r>
            <a:rPr lang="pt-B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kg/m³.</a:t>
          </a:r>
        </a:p>
        <a:p>
          <a:endParaRPr lang="pt-BR" sz="1800"/>
        </a:p>
      </xdr:txBody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304800</xdr:colOff>
      <xdr:row>25</xdr:row>
      <xdr:rowOff>104775</xdr:rowOff>
    </xdr:to>
    <xdr:sp macro="" textlink="">
      <xdr:nvSpPr>
        <xdr:cNvPr id="3" name="AutoShape 1" descr="https://moodle.unijui.edu.br/pluginfile.php/924/question/questiontext/2908/1/1397/2.1.jpg"/>
        <xdr:cNvSpPr>
          <a:spLocks noChangeAspect="1" noChangeArrowheads="1"/>
        </xdr:cNvSpPr>
      </xdr:nvSpPr>
      <xdr:spPr bwMode="auto">
        <a:xfrm>
          <a:off x="5857875" y="47720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123827</xdr:colOff>
      <xdr:row>7</xdr:row>
      <xdr:rowOff>123826</xdr:rowOff>
    </xdr:from>
    <xdr:to>
      <xdr:col>10</xdr:col>
      <xdr:colOff>571500</xdr:colOff>
      <xdr:row>13</xdr:row>
      <xdr:rowOff>66676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2" y="1447801"/>
          <a:ext cx="3067048" cy="114300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838200</xdr:colOff>
      <xdr:row>8</xdr:row>
      <xdr:rowOff>161925</xdr:rowOff>
    </xdr:from>
    <xdr:to>
      <xdr:col>15</xdr:col>
      <xdr:colOff>333375</xdr:colOff>
      <xdr:row>13</xdr:row>
      <xdr:rowOff>171449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4900" y="1885950"/>
          <a:ext cx="342900" cy="100964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129540</xdr:colOff>
          <xdr:row>6</xdr:row>
          <xdr:rowOff>7620</xdr:rowOff>
        </xdr:from>
        <xdr:to>
          <xdr:col>15</xdr:col>
          <xdr:colOff>708660</xdr:colOff>
          <xdr:row>8</xdr:row>
          <xdr:rowOff>121920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464820</xdr:colOff>
          <xdr:row>8</xdr:row>
          <xdr:rowOff>0</xdr:rowOff>
        </xdr:from>
        <xdr:to>
          <xdr:col>10</xdr:col>
          <xdr:colOff>708660</xdr:colOff>
          <xdr:row>9</xdr:row>
          <xdr:rowOff>38100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2</xdr:row>
          <xdr:rowOff>99060</xdr:rowOff>
        </xdr:from>
        <xdr:to>
          <xdr:col>15</xdr:col>
          <xdr:colOff>327660</xdr:colOff>
          <xdr:row>3</xdr:row>
          <xdr:rowOff>137160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9</xdr:row>
      <xdr:rowOff>9524</xdr:rowOff>
    </xdr:from>
    <xdr:to>
      <xdr:col>7</xdr:col>
      <xdr:colOff>142873</xdr:colOff>
      <xdr:row>9</xdr:row>
      <xdr:rowOff>190498</xdr:rowOff>
    </xdr:to>
    <xdr:sp macro="" textlink="">
      <xdr:nvSpPr>
        <xdr:cNvPr id="4" name="Seta para baixo 3"/>
        <xdr:cNvSpPr/>
      </xdr:nvSpPr>
      <xdr:spPr>
        <a:xfrm rot="10800000">
          <a:off x="3238499" y="2114549"/>
          <a:ext cx="161924" cy="180974"/>
        </a:xfrm>
        <a:prstGeom prst="downArrow">
          <a:avLst>
            <a:gd name="adj1" fmla="val 50000"/>
            <a:gd name="adj2" fmla="val 4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266700</xdr:colOff>
      <xdr:row>7</xdr:row>
      <xdr:rowOff>133350</xdr:rowOff>
    </xdr:from>
    <xdr:to>
      <xdr:col>5</xdr:col>
      <xdr:colOff>180975</xdr:colOff>
      <xdr:row>10</xdr:row>
      <xdr:rowOff>190500</xdr:rowOff>
    </xdr:to>
    <xdr:cxnSp macro="">
      <xdr:nvCxnSpPr>
        <xdr:cNvPr id="3" name="Conector de seta reta 2"/>
        <xdr:cNvCxnSpPr/>
      </xdr:nvCxnSpPr>
      <xdr:spPr>
        <a:xfrm rot="10800000" flipV="1">
          <a:off x="1152525" y="1590675"/>
          <a:ext cx="11144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8</xdr:row>
      <xdr:rowOff>123825</xdr:rowOff>
    </xdr:from>
    <xdr:to>
      <xdr:col>5</xdr:col>
      <xdr:colOff>314325</xdr:colOff>
      <xdr:row>11</xdr:row>
      <xdr:rowOff>180975</xdr:rowOff>
    </xdr:to>
    <xdr:cxnSp macro="">
      <xdr:nvCxnSpPr>
        <xdr:cNvPr id="5" name="Conector de seta reta 4"/>
        <xdr:cNvCxnSpPr/>
      </xdr:nvCxnSpPr>
      <xdr:spPr>
        <a:xfrm rot="10800000" flipV="1">
          <a:off x="1285875" y="1847850"/>
          <a:ext cx="11144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76200</xdr:rowOff>
    </xdr:from>
    <xdr:to>
      <xdr:col>7</xdr:col>
      <xdr:colOff>323850</xdr:colOff>
      <xdr:row>10</xdr:row>
      <xdr:rowOff>57149</xdr:rowOff>
    </xdr:to>
    <xdr:sp macro="" textlink="">
      <xdr:nvSpPr>
        <xdr:cNvPr id="4" name="Seta dobrada para cima 3"/>
        <xdr:cNvSpPr/>
      </xdr:nvSpPr>
      <xdr:spPr>
        <a:xfrm flipH="1" flipV="1">
          <a:off x="2809875" y="2238375"/>
          <a:ext cx="666750" cy="247649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10</xdr:col>
      <xdr:colOff>76200</xdr:colOff>
      <xdr:row>9</xdr:row>
      <xdr:rowOff>57150</xdr:rowOff>
    </xdr:from>
    <xdr:to>
      <xdr:col>11</xdr:col>
      <xdr:colOff>238125</xdr:colOff>
      <xdr:row>10</xdr:row>
      <xdr:rowOff>28575</xdr:rowOff>
    </xdr:to>
    <xdr:sp macro="" textlink="">
      <xdr:nvSpPr>
        <xdr:cNvPr id="5" name="Seta dobrada para cima 4"/>
        <xdr:cNvSpPr/>
      </xdr:nvSpPr>
      <xdr:spPr>
        <a:xfrm>
          <a:off x="5067300" y="2219325"/>
          <a:ext cx="571500" cy="2381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361950</xdr:colOff>
      <xdr:row>7</xdr:row>
      <xdr:rowOff>133350</xdr:rowOff>
    </xdr:from>
    <xdr:to>
      <xdr:col>5</xdr:col>
      <xdr:colOff>95250</xdr:colOff>
      <xdr:row>10</xdr:row>
      <xdr:rowOff>114300</xdr:rowOff>
    </xdr:to>
    <xdr:cxnSp macro="">
      <xdr:nvCxnSpPr>
        <xdr:cNvPr id="9" name="Conector de seta reta 8"/>
        <xdr:cNvCxnSpPr/>
      </xdr:nvCxnSpPr>
      <xdr:spPr>
        <a:xfrm rot="10800000" flipV="1">
          <a:off x="1247775" y="1781175"/>
          <a:ext cx="11144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8</xdr:row>
      <xdr:rowOff>190500</xdr:rowOff>
    </xdr:from>
    <xdr:to>
      <xdr:col>5</xdr:col>
      <xdr:colOff>247650</xdr:colOff>
      <xdr:row>11</xdr:row>
      <xdr:rowOff>171450</xdr:rowOff>
    </xdr:to>
    <xdr:cxnSp macro="">
      <xdr:nvCxnSpPr>
        <xdr:cNvPr id="10" name="Conector de seta reta 9"/>
        <xdr:cNvCxnSpPr/>
      </xdr:nvCxnSpPr>
      <xdr:spPr>
        <a:xfrm rot="10800000" flipV="1">
          <a:off x="1400175" y="2105025"/>
          <a:ext cx="11144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7</xdr:row>
      <xdr:rowOff>133350</xdr:rowOff>
    </xdr:from>
    <xdr:to>
      <xdr:col>9</xdr:col>
      <xdr:colOff>95250</xdr:colOff>
      <xdr:row>10</xdr:row>
      <xdr:rowOff>114300</xdr:rowOff>
    </xdr:to>
    <xdr:cxnSp macro="">
      <xdr:nvCxnSpPr>
        <xdr:cNvPr id="11" name="Conector de seta reta 10"/>
        <xdr:cNvCxnSpPr/>
      </xdr:nvCxnSpPr>
      <xdr:spPr>
        <a:xfrm rot="10800000" flipV="1">
          <a:off x="3505200" y="1781175"/>
          <a:ext cx="11144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8</xdr:row>
      <xdr:rowOff>190500</xdr:rowOff>
    </xdr:from>
    <xdr:to>
      <xdr:col>9</xdr:col>
      <xdr:colOff>247650</xdr:colOff>
      <xdr:row>11</xdr:row>
      <xdr:rowOff>171450</xdr:rowOff>
    </xdr:to>
    <xdr:cxnSp macro="">
      <xdr:nvCxnSpPr>
        <xdr:cNvPr id="12" name="Conector de seta reta 11"/>
        <xdr:cNvCxnSpPr/>
      </xdr:nvCxnSpPr>
      <xdr:spPr>
        <a:xfrm rot="10800000" flipV="1">
          <a:off x="3657600" y="2105025"/>
          <a:ext cx="1114425" cy="790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8</xdr:row>
      <xdr:rowOff>95250</xdr:rowOff>
    </xdr:from>
    <xdr:to>
      <xdr:col>11</xdr:col>
      <xdr:colOff>247650</xdr:colOff>
      <xdr:row>9</xdr:row>
      <xdr:rowOff>19050</xdr:rowOff>
    </xdr:to>
    <xdr:sp macro="" textlink="">
      <xdr:nvSpPr>
        <xdr:cNvPr id="5" name="Seta dobrada para cima 4"/>
        <xdr:cNvSpPr/>
      </xdr:nvSpPr>
      <xdr:spPr>
        <a:xfrm>
          <a:off x="5867400" y="1857375"/>
          <a:ext cx="571500" cy="1905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742949</xdr:colOff>
      <xdr:row>8</xdr:row>
      <xdr:rowOff>85725</xdr:rowOff>
    </xdr:from>
    <xdr:to>
      <xdr:col>7</xdr:col>
      <xdr:colOff>676274</xdr:colOff>
      <xdr:row>8</xdr:row>
      <xdr:rowOff>228600</xdr:rowOff>
    </xdr:to>
    <xdr:sp macro="" textlink="">
      <xdr:nvSpPr>
        <xdr:cNvPr id="6" name="Seta dobrada para cima 5"/>
        <xdr:cNvSpPr/>
      </xdr:nvSpPr>
      <xdr:spPr>
        <a:xfrm flipH="1" flipV="1">
          <a:off x="3562349" y="1847850"/>
          <a:ext cx="1247775" cy="1428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1028700</xdr:colOff>
      <xdr:row>6</xdr:row>
      <xdr:rowOff>85724</xdr:rowOff>
    </xdr:from>
    <xdr:to>
      <xdr:col>9</xdr:col>
      <xdr:colOff>104776</xdr:colOff>
      <xdr:row>9</xdr:row>
      <xdr:rowOff>142874</xdr:rowOff>
    </xdr:to>
    <xdr:cxnSp macro="">
      <xdr:nvCxnSpPr>
        <xdr:cNvPr id="7" name="Conector de seta reta 6"/>
        <xdr:cNvCxnSpPr/>
      </xdr:nvCxnSpPr>
      <xdr:spPr>
        <a:xfrm rot="10800000" flipV="1">
          <a:off x="3848100" y="1304924"/>
          <a:ext cx="1571626" cy="866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1171576</xdr:colOff>
      <xdr:row>7</xdr:row>
      <xdr:rowOff>142874</xdr:rowOff>
    </xdr:from>
    <xdr:to>
      <xdr:col>9</xdr:col>
      <xdr:colOff>257177</xdr:colOff>
      <xdr:row>10</xdr:row>
      <xdr:rowOff>161924</xdr:rowOff>
    </xdr:to>
    <xdr:cxnSp macro="">
      <xdr:nvCxnSpPr>
        <xdr:cNvPr id="8" name="Conector de seta reta 7"/>
        <xdr:cNvCxnSpPr/>
      </xdr:nvCxnSpPr>
      <xdr:spPr>
        <a:xfrm rot="10800000" flipV="1">
          <a:off x="3990976" y="1628774"/>
          <a:ext cx="1581151" cy="8286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66678</xdr:colOff>
      <xdr:row>6</xdr:row>
      <xdr:rowOff>209550</xdr:rowOff>
    </xdr:from>
    <xdr:to>
      <xdr:col>3</xdr:col>
      <xdr:colOff>552451</xdr:colOff>
      <xdr:row>9</xdr:row>
      <xdr:rowOff>161924</xdr:rowOff>
    </xdr:to>
    <xdr:cxnSp macro="">
      <xdr:nvCxnSpPr>
        <xdr:cNvPr id="9" name="Conector de seta reta 8"/>
        <xdr:cNvCxnSpPr/>
      </xdr:nvCxnSpPr>
      <xdr:spPr>
        <a:xfrm rot="5400000">
          <a:off x="814390" y="1566863"/>
          <a:ext cx="761999" cy="4857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7</xdr:row>
      <xdr:rowOff>200026</xdr:rowOff>
    </xdr:from>
    <xdr:to>
      <xdr:col>4</xdr:col>
      <xdr:colOff>123827</xdr:colOff>
      <xdr:row>10</xdr:row>
      <xdr:rowOff>152401</xdr:rowOff>
    </xdr:to>
    <xdr:cxnSp macro="">
      <xdr:nvCxnSpPr>
        <xdr:cNvPr id="10" name="Conector de seta reta 9"/>
        <xdr:cNvCxnSpPr/>
      </xdr:nvCxnSpPr>
      <xdr:spPr>
        <a:xfrm rot="5400000">
          <a:off x="985839" y="1843087"/>
          <a:ext cx="762000" cy="4476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unijui.edu.br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7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5.bin"/><Relationship Id="rId9" Type="http://schemas.openxmlformats.org/officeDocument/2006/relationships/image" Target="../media/image7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95"/>
  <sheetViews>
    <sheetView workbookViewId="0">
      <selection activeCell="J8" sqref="J8"/>
    </sheetView>
  </sheetViews>
  <sheetFormatPr defaultColWidth="8.3984375" defaultRowHeight="30" customHeight="1" x14ac:dyDescent="0.3"/>
  <cols>
    <col min="1" max="1" width="2.3984375" style="688" customWidth="1"/>
    <col min="2" max="2" width="1.8984375" style="1" customWidth="1"/>
    <col min="3" max="3" width="3" style="1" customWidth="1"/>
    <col min="4" max="7" width="8.3984375" style="1"/>
    <col min="8" max="8" width="9.8984375" style="1" customWidth="1"/>
    <col min="9" max="9" width="11.5" style="690" customWidth="1"/>
    <col min="10" max="10" width="24.19921875" style="690" customWidth="1"/>
    <col min="11" max="11" width="8.3984375" style="690"/>
    <col min="12" max="12" width="2.19921875" style="690" customWidth="1"/>
    <col min="13" max="13" width="2.8984375" style="690" customWidth="1"/>
    <col min="14" max="14" width="8.3984375" style="688"/>
    <col min="15" max="29" width="8.3984375" style="686"/>
    <col min="30" max="16384" width="8.3984375" style="1"/>
  </cols>
  <sheetData>
    <row r="1" spans="1:29" s="686" customFormat="1" ht="17.25" customHeight="1" x14ac:dyDescent="0.3">
      <c r="A1" s="688"/>
      <c r="I1" s="688"/>
      <c r="J1" s="688"/>
      <c r="K1" s="688"/>
      <c r="L1" s="688"/>
      <c r="M1" s="688"/>
      <c r="N1" s="688"/>
    </row>
    <row r="2" spans="1:29" ht="11.25" customHeight="1" x14ac:dyDescent="0.3"/>
    <row r="3" spans="1:29" ht="13.5" customHeight="1" x14ac:dyDescent="0.3">
      <c r="C3" s="686"/>
      <c r="D3" s="686"/>
      <c r="E3" s="686"/>
      <c r="F3" s="686"/>
      <c r="G3" s="686"/>
      <c r="H3" s="686"/>
      <c r="I3" s="688"/>
      <c r="J3" s="688"/>
      <c r="K3" s="688"/>
      <c r="L3" s="688"/>
    </row>
    <row r="4" spans="1:29" s="66" customFormat="1" ht="21.75" customHeight="1" x14ac:dyDescent="0.3">
      <c r="A4" s="689"/>
      <c r="C4" s="687"/>
      <c r="D4" s="1090" t="s">
        <v>430</v>
      </c>
      <c r="E4" s="1090" t="s">
        <v>464</v>
      </c>
      <c r="G4" s="1090"/>
      <c r="H4" s="1090"/>
      <c r="I4" s="1090"/>
      <c r="J4" s="1090"/>
      <c r="K4" s="691"/>
      <c r="L4" s="688"/>
      <c r="M4" s="691"/>
      <c r="N4" s="689"/>
      <c r="O4" s="687"/>
      <c r="P4" s="686"/>
      <c r="Q4" s="686"/>
      <c r="R4" s="686"/>
      <c r="S4" s="1457"/>
      <c r="T4" s="686"/>
      <c r="U4" s="686"/>
      <c r="V4" s="686"/>
      <c r="W4" s="686"/>
      <c r="X4" s="686"/>
      <c r="Y4" s="686"/>
      <c r="Z4" s="686"/>
      <c r="AA4" s="686"/>
      <c r="AB4" s="686"/>
      <c r="AC4" s="686"/>
    </row>
    <row r="5" spans="1:29" s="66" customFormat="1" ht="17.25" customHeight="1" thickBot="1" x14ac:dyDescent="0.35">
      <c r="A5" s="689"/>
      <c r="C5" s="687"/>
      <c r="D5" s="1091"/>
      <c r="E5" s="1091"/>
      <c r="F5" s="1091"/>
      <c r="G5" s="1091"/>
      <c r="H5" s="1091"/>
      <c r="I5" s="1091"/>
      <c r="J5" s="1092"/>
      <c r="K5" s="691"/>
      <c r="L5" s="688"/>
      <c r="M5" s="691"/>
      <c r="N5" s="689"/>
      <c r="O5" s="687"/>
      <c r="P5" s="686"/>
      <c r="Q5" s="686"/>
      <c r="R5" s="686"/>
      <c r="S5" s="686"/>
      <c r="T5" s="686"/>
      <c r="U5" s="686"/>
      <c r="V5" s="686"/>
      <c r="W5" s="686"/>
      <c r="X5" s="686"/>
      <c r="Y5" s="686"/>
      <c r="Z5" s="686"/>
      <c r="AA5" s="686"/>
      <c r="AB5" s="686"/>
      <c r="AC5" s="686"/>
    </row>
    <row r="6" spans="1:29" s="66" customFormat="1" ht="17.25" customHeight="1" thickBot="1" x14ac:dyDescent="0.35">
      <c r="A6" s="689"/>
      <c r="C6" s="687"/>
      <c r="D6" s="1091" t="s">
        <v>201</v>
      </c>
      <c r="E6" s="1091"/>
      <c r="F6" s="1091"/>
      <c r="G6" s="1091"/>
      <c r="H6" s="1091"/>
      <c r="I6" s="1091"/>
      <c r="J6" s="1096" t="s">
        <v>255</v>
      </c>
      <c r="K6" s="691"/>
      <c r="L6" s="688"/>
      <c r="M6" s="691"/>
      <c r="N6" s="689"/>
      <c r="O6" s="687"/>
      <c r="P6" s="686"/>
      <c r="Q6" s="686"/>
      <c r="R6" s="686"/>
      <c r="S6" s="686"/>
      <c r="T6" s="686"/>
      <c r="U6" s="686"/>
      <c r="V6" s="686"/>
      <c r="W6" s="686"/>
      <c r="X6" s="686"/>
      <c r="Y6" s="686"/>
      <c r="Z6" s="686"/>
      <c r="AA6" s="686"/>
      <c r="AB6" s="686"/>
      <c r="AC6" s="686"/>
    </row>
    <row r="7" spans="1:29" s="66" customFormat="1" ht="16.5" customHeight="1" thickBot="1" x14ac:dyDescent="0.35">
      <c r="A7" s="689"/>
      <c r="C7" s="687"/>
      <c r="D7" s="1093"/>
      <c r="E7" s="1093"/>
      <c r="F7" s="1093"/>
      <c r="G7" s="1093"/>
      <c r="H7" s="1093"/>
      <c r="I7" s="1093"/>
      <c r="J7" s="1094"/>
      <c r="K7" s="691"/>
      <c r="L7" s="688"/>
      <c r="M7" s="691"/>
      <c r="N7" s="689"/>
      <c r="O7" s="687"/>
      <c r="P7" s="686"/>
      <c r="Q7" s="686"/>
      <c r="R7" s="686"/>
      <c r="S7" s="686"/>
      <c r="T7" s="686"/>
      <c r="U7" s="686"/>
      <c r="V7" s="686"/>
      <c r="W7" s="686"/>
      <c r="X7" s="686"/>
      <c r="Y7" s="686"/>
      <c r="Z7" s="686"/>
      <c r="AA7" s="686"/>
      <c r="AB7" s="686"/>
      <c r="AC7" s="686"/>
    </row>
    <row r="8" spans="1:29" s="66" customFormat="1" ht="19.5" customHeight="1" thickBot="1" x14ac:dyDescent="0.35">
      <c r="A8" s="689"/>
      <c r="C8" s="687"/>
      <c r="D8" s="1095" t="s">
        <v>404</v>
      </c>
      <c r="E8" s="1095"/>
      <c r="F8" s="1095"/>
      <c r="G8" s="1095"/>
      <c r="H8" s="1095"/>
      <c r="I8" s="1095"/>
      <c r="J8" s="1097">
        <v>123456</v>
      </c>
      <c r="K8" s="691"/>
      <c r="L8" s="688"/>
      <c r="M8" s="691"/>
      <c r="N8" s="689"/>
      <c r="O8" s="687"/>
      <c r="P8" s="686"/>
      <c r="Q8" s="686"/>
      <c r="R8" s="686"/>
      <c r="S8" s="686"/>
      <c r="T8" s="686"/>
      <c r="U8" s="686"/>
      <c r="V8" s="686"/>
      <c r="W8" s="686"/>
      <c r="X8" s="686"/>
      <c r="Y8" s="686"/>
      <c r="Z8" s="686"/>
      <c r="AA8" s="686"/>
      <c r="AB8" s="686"/>
      <c r="AC8" s="686"/>
    </row>
    <row r="9" spans="1:29" s="66" customFormat="1" ht="18.75" customHeight="1" x14ac:dyDescent="0.3">
      <c r="A9" s="689"/>
      <c r="C9" s="687"/>
      <c r="D9" s="1095"/>
      <c r="E9" s="1095"/>
      <c r="F9" s="1095"/>
      <c r="G9" s="1095"/>
      <c r="H9" s="1095"/>
      <c r="I9" s="1095"/>
      <c r="J9" s="1094"/>
      <c r="K9" s="691"/>
      <c r="L9" s="688"/>
      <c r="M9" s="691"/>
      <c r="N9" s="689"/>
      <c r="O9" s="687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</row>
    <row r="10" spans="1:29" s="66" customFormat="1" ht="15.75" customHeight="1" x14ac:dyDescent="0.3">
      <c r="A10" s="689"/>
      <c r="C10" s="687"/>
      <c r="D10" s="687"/>
      <c r="E10" s="687"/>
      <c r="F10" s="687"/>
      <c r="G10" s="687"/>
      <c r="H10" s="687"/>
      <c r="I10" s="687"/>
      <c r="J10" s="687"/>
      <c r="K10" s="687"/>
      <c r="L10" s="688"/>
      <c r="M10" s="691"/>
      <c r="N10" s="689"/>
      <c r="O10" s="687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</row>
    <row r="11" spans="1:29" s="66" customFormat="1" ht="12.75" customHeight="1" x14ac:dyDescent="0.3">
      <c r="A11" s="689"/>
      <c r="I11" s="691"/>
      <c r="J11" s="691"/>
      <c r="K11" s="691"/>
      <c r="L11" s="691"/>
      <c r="M11" s="691"/>
      <c r="N11" s="689"/>
      <c r="O11" s="687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686"/>
    </row>
    <row r="12" spans="1:29" s="66" customFormat="1" ht="3.6" customHeight="1" x14ac:dyDescent="0.3">
      <c r="A12" s="689"/>
      <c r="B12" s="687"/>
      <c r="C12" s="687"/>
      <c r="D12" s="1456"/>
      <c r="E12" s="687"/>
      <c r="F12" s="687"/>
      <c r="G12" s="687"/>
      <c r="H12" s="687"/>
      <c r="I12" s="689"/>
      <c r="J12" s="689"/>
      <c r="K12" s="689"/>
      <c r="L12" s="689"/>
      <c r="M12" s="689"/>
      <c r="N12" s="689"/>
      <c r="O12" s="687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6"/>
      <c r="AB12" s="686"/>
      <c r="AC12" s="686"/>
    </row>
    <row r="13" spans="1:29" ht="20.25" customHeight="1" x14ac:dyDescent="0.3">
      <c r="B13" s="686"/>
      <c r="C13" s="686"/>
      <c r="D13" s="686"/>
      <c r="E13" s="686"/>
      <c r="F13" s="686"/>
      <c r="G13" s="686"/>
      <c r="H13" s="686"/>
      <c r="I13" s="688"/>
      <c r="J13" s="688"/>
      <c r="K13" s="688"/>
      <c r="L13" s="688"/>
      <c r="M13" s="688"/>
    </row>
    <row r="14" spans="1:29" ht="30" customHeight="1" x14ac:dyDescent="0.3">
      <c r="B14" s="686"/>
      <c r="C14" s="686"/>
      <c r="D14" s="686"/>
      <c r="E14" s="686"/>
      <c r="F14" s="686"/>
      <c r="G14" s="686"/>
      <c r="H14" s="686"/>
      <c r="I14" s="688"/>
      <c r="J14" s="688"/>
      <c r="K14" s="688"/>
      <c r="L14" s="688"/>
      <c r="M14" s="688"/>
    </row>
    <row r="15" spans="1:29" ht="30" customHeight="1" x14ac:dyDescent="0.6">
      <c r="B15" s="686"/>
      <c r="C15" s="686"/>
      <c r="D15" s="1455" t="s">
        <v>463</v>
      </c>
      <c r="E15" s="1455"/>
      <c r="F15" s="1455"/>
      <c r="G15" s="1455"/>
      <c r="H15" s="1455"/>
      <c r="I15" s="688"/>
      <c r="J15" s="688"/>
      <c r="K15" s="688"/>
      <c r="L15" s="688"/>
      <c r="M15" s="688"/>
    </row>
    <row r="16" spans="1:29" ht="30" customHeight="1" x14ac:dyDescent="0.3">
      <c r="B16" s="686"/>
      <c r="C16" s="686"/>
      <c r="D16" s="686"/>
      <c r="E16" s="686"/>
      <c r="F16" s="686"/>
      <c r="G16" s="686"/>
      <c r="H16" s="686"/>
      <c r="I16" s="688"/>
      <c r="J16" s="688"/>
      <c r="K16" s="688"/>
      <c r="L16" s="688"/>
      <c r="M16" s="688"/>
    </row>
    <row r="17" spans="2:13" ht="30" customHeight="1" x14ac:dyDescent="0.3">
      <c r="B17" s="686"/>
      <c r="C17" s="686"/>
      <c r="D17" s="686"/>
      <c r="E17" s="686"/>
      <c r="F17" s="686"/>
      <c r="G17" s="686"/>
      <c r="H17" s="686"/>
      <c r="I17" s="688"/>
      <c r="J17" s="688"/>
      <c r="K17" s="688"/>
      <c r="L17" s="688"/>
      <c r="M17" s="688"/>
    </row>
    <row r="18" spans="2:13" ht="30" customHeight="1" x14ac:dyDescent="0.3">
      <c r="B18" s="686"/>
      <c r="C18" s="686"/>
      <c r="D18" s="686"/>
      <c r="E18" s="686"/>
      <c r="F18" s="686"/>
      <c r="G18" s="686"/>
      <c r="H18" s="686"/>
      <c r="I18" s="688"/>
      <c r="J18" s="688"/>
      <c r="K18" s="688"/>
      <c r="L18" s="688"/>
      <c r="M18" s="688"/>
    </row>
    <row r="19" spans="2:13" ht="30" customHeight="1" x14ac:dyDescent="0.3">
      <c r="B19" s="686"/>
      <c r="C19" s="686"/>
      <c r="D19" s="686"/>
      <c r="E19" s="686"/>
      <c r="F19" s="686"/>
      <c r="G19" s="686"/>
      <c r="H19" s="686"/>
      <c r="I19" s="688"/>
      <c r="J19" s="688"/>
      <c r="K19" s="688"/>
      <c r="L19" s="688"/>
      <c r="M19" s="688"/>
    </row>
    <row r="20" spans="2:13" ht="30" customHeight="1" x14ac:dyDescent="0.3">
      <c r="B20" s="686"/>
      <c r="C20" s="686"/>
      <c r="D20" s="686"/>
      <c r="E20" s="686"/>
      <c r="F20" s="686"/>
      <c r="G20" s="686"/>
      <c r="H20" s="686"/>
      <c r="I20" s="688"/>
      <c r="J20" s="688"/>
      <c r="K20" s="688"/>
      <c r="L20" s="688"/>
      <c r="M20" s="688"/>
    </row>
    <row r="21" spans="2:13" ht="30" customHeight="1" x14ac:dyDescent="0.3">
      <c r="B21" s="686"/>
      <c r="C21" s="686"/>
      <c r="D21" s="686"/>
      <c r="E21" s="686"/>
      <c r="F21" s="686"/>
      <c r="G21" s="686"/>
      <c r="H21" s="686"/>
      <c r="I21" s="688"/>
      <c r="J21" s="688"/>
      <c r="K21" s="688"/>
      <c r="L21" s="688"/>
      <c r="M21" s="688"/>
    </row>
    <row r="22" spans="2:13" ht="30" customHeight="1" x14ac:dyDescent="0.3">
      <c r="B22" s="686"/>
      <c r="C22" s="686"/>
      <c r="D22" s="686"/>
      <c r="E22" s="686"/>
      <c r="F22" s="686"/>
      <c r="G22" s="686"/>
      <c r="H22" s="686"/>
      <c r="I22" s="688"/>
      <c r="J22" s="688"/>
      <c r="K22" s="688"/>
      <c r="L22" s="688"/>
      <c r="M22" s="688"/>
    </row>
    <row r="23" spans="2:13" ht="30" customHeight="1" x14ac:dyDescent="0.3">
      <c r="B23" s="686"/>
      <c r="C23" s="686"/>
      <c r="D23" s="686"/>
      <c r="E23" s="686"/>
      <c r="F23" s="686"/>
      <c r="G23" s="686"/>
      <c r="H23" s="686"/>
      <c r="I23" s="688"/>
      <c r="J23" s="688"/>
      <c r="K23" s="688"/>
      <c r="L23" s="688"/>
      <c r="M23" s="688"/>
    </row>
    <row r="24" spans="2:13" ht="30" customHeight="1" x14ac:dyDescent="0.3">
      <c r="B24" s="686"/>
      <c r="C24" s="686"/>
      <c r="D24" s="686"/>
      <c r="E24" s="686"/>
      <c r="F24" s="686"/>
      <c r="G24" s="686"/>
      <c r="H24" s="686"/>
      <c r="I24" s="688"/>
      <c r="J24" s="688"/>
      <c r="K24" s="688"/>
      <c r="L24" s="688"/>
      <c r="M24" s="688"/>
    </row>
    <row r="25" spans="2:13" ht="30" customHeight="1" x14ac:dyDescent="0.3">
      <c r="B25" s="686"/>
      <c r="C25" s="686"/>
      <c r="D25" s="686"/>
      <c r="E25" s="686"/>
      <c r="F25" s="686"/>
      <c r="G25" s="686"/>
      <c r="H25" s="686"/>
      <c r="I25" s="688"/>
      <c r="J25" s="688"/>
      <c r="K25" s="688"/>
      <c r="L25" s="688"/>
      <c r="M25" s="688"/>
    </row>
    <row r="26" spans="2:13" ht="30" customHeight="1" x14ac:dyDescent="0.3">
      <c r="B26" s="686"/>
      <c r="C26" s="686"/>
      <c r="D26" s="686"/>
      <c r="E26" s="686"/>
      <c r="F26" s="686"/>
      <c r="G26" s="686"/>
      <c r="H26" s="686"/>
      <c r="I26" s="688"/>
      <c r="J26" s="688"/>
      <c r="K26" s="688"/>
      <c r="L26" s="688"/>
      <c r="M26" s="688"/>
    </row>
    <row r="27" spans="2:13" ht="30" customHeight="1" x14ac:dyDescent="0.3">
      <c r="B27" s="686"/>
      <c r="C27" s="686"/>
      <c r="D27" s="686"/>
      <c r="E27" s="686"/>
      <c r="F27" s="686"/>
      <c r="G27" s="686"/>
      <c r="H27" s="686"/>
      <c r="I27" s="688"/>
      <c r="J27" s="688"/>
      <c r="K27" s="688"/>
      <c r="L27" s="688"/>
      <c r="M27" s="688"/>
    </row>
    <row r="28" spans="2:13" ht="30" customHeight="1" x14ac:dyDescent="0.3">
      <c r="B28" s="686"/>
      <c r="C28" s="686"/>
      <c r="D28" s="686"/>
      <c r="E28" s="686"/>
      <c r="F28" s="686"/>
      <c r="G28" s="686"/>
      <c r="H28" s="686"/>
      <c r="I28" s="688"/>
      <c r="J28" s="688"/>
      <c r="K28" s="688"/>
      <c r="L28" s="688"/>
      <c r="M28" s="688"/>
    </row>
    <row r="29" spans="2:13" ht="30" customHeight="1" x14ac:dyDescent="0.3">
      <c r="B29" s="686"/>
      <c r="C29" s="686"/>
      <c r="D29" s="686"/>
      <c r="E29" s="686"/>
      <c r="F29" s="686"/>
      <c r="G29" s="686"/>
      <c r="H29" s="686"/>
      <c r="I29" s="688"/>
      <c r="J29" s="688"/>
      <c r="K29" s="688"/>
      <c r="L29" s="688"/>
      <c r="M29" s="688"/>
    </row>
    <row r="30" spans="2:13" ht="30" customHeight="1" x14ac:dyDescent="0.3">
      <c r="B30" s="686"/>
      <c r="C30" s="686"/>
      <c r="D30" s="686"/>
      <c r="E30" s="686"/>
      <c r="F30" s="686"/>
      <c r="G30" s="686"/>
      <c r="H30" s="686"/>
      <c r="I30" s="688"/>
      <c r="J30" s="688"/>
      <c r="K30" s="688"/>
      <c r="L30" s="688"/>
      <c r="M30" s="688"/>
    </row>
    <row r="31" spans="2:13" ht="30" customHeight="1" x14ac:dyDescent="0.3">
      <c r="B31" s="686"/>
      <c r="C31" s="686"/>
      <c r="D31" s="686"/>
      <c r="E31" s="686"/>
      <c r="F31" s="686"/>
      <c r="G31" s="686"/>
      <c r="H31" s="686"/>
      <c r="I31" s="688"/>
      <c r="J31" s="688"/>
      <c r="K31" s="688"/>
      <c r="L31" s="688"/>
      <c r="M31" s="688"/>
    </row>
    <row r="32" spans="2:13" ht="30" customHeight="1" x14ac:dyDescent="0.3">
      <c r="B32" s="686"/>
      <c r="C32" s="686"/>
      <c r="D32" s="686"/>
      <c r="E32" s="686"/>
      <c r="F32" s="686"/>
      <c r="G32" s="686"/>
      <c r="H32" s="686"/>
      <c r="I32" s="688"/>
      <c r="J32" s="688"/>
      <c r="K32" s="688"/>
      <c r="L32" s="688"/>
      <c r="M32" s="688"/>
    </row>
    <row r="33" spans="2:13" ht="30" customHeight="1" x14ac:dyDescent="0.3">
      <c r="B33" s="686"/>
      <c r="C33" s="686"/>
      <c r="D33" s="686"/>
      <c r="E33" s="686"/>
      <c r="F33" s="686"/>
      <c r="G33" s="686"/>
      <c r="H33" s="686"/>
      <c r="I33" s="688"/>
      <c r="J33" s="688"/>
      <c r="K33" s="688"/>
      <c r="L33" s="688"/>
      <c r="M33" s="688"/>
    </row>
    <row r="34" spans="2:13" ht="30" customHeight="1" x14ac:dyDescent="0.3">
      <c r="B34" s="686"/>
      <c r="C34" s="686"/>
      <c r="D34" s="686"/>
      <c r="E34" s="686"/>
      <c r="F34" s="686"/>
      <c r="G34" s="686"/>
      <c r="H34" s="686"/>
      <c r="I34" s="688"/>
      <c r="J34" s="688"/>
      <c r="K34" s="688"/>
      <c r="L34" s="688"/>
      <c r="M34" s="688"/>
    </row>
    <row r="35" spans="2:13" ht="30" customHeight="1" x14ac:dyDescent="0.3">
      <c r="B35" s="686"/>
      <c r="C35" s="686"/>
      <c r="D35" s="686"/>
      <c r="E35" s="686"/>
      <c r="F35" s="686"/>
      <c r="G35" s="686"/>
      <c r="H35" s="686"/>
      <c r="I35" s="688"/>
      <c r="J35" s="688"/>
      <c r="K35" s="688"/>
      <c r="L35" s="688"/>
      <c r="M35" s="688"/>
    </row>
    <row r="36" spans="2:13" ht="30" customHeight="1" x14ac:dyDescent="0.3">
      <c r="B36" s="686"/>
      <c r="C36" s="686"/>
      <c r="D36" s="686"/>
      <c r="E36" s="686"/>
      <c r="F36" s="686"/>
      <c r="G36" s="686"/>
      <c r="H36" s="686"/>
      <c r="I36" s="688"/>
      <c r="J36" s="688"/>
      <c r="K36" s="688"/>
      <c r="L36" s="688"/>
      <c r="M36" s="688"/>
    </row>
    <row r="37" spans="2:13" ht="30" customHeight="1" x14ac:dyDescent="0.3">
      <c r="B37" s="686"/>
      <c r="C37" s="686"/>
      <c r="D37" s="686"/>
      <c r="E37" s="686"/>
      <c r="F37" s="686"/>
      <c r="G37" s="686"/>
      <c r="H37" s="686"/>
      <c r="I37" s="688"/>
      <c r="J37" s="688"/>
      <c r="K37" s="688"/>
      <c r="L37" s="688"/>
      <c r="M37" s="688"/>
    </row>
    <row r="38" spans="2:13" ht="30" customHeight="1" x14ac:dyDescent="0.3">
      <c r="B38" s="686"/>
      <c r="C38" s="686"/>
      <c r="D38" s="686"/>
      <c r="E38" s="686"/>
      <c r="F38" s="686"/>
      <c r="G38" s="686"/>
      <c r="H38" s="686"/>
      <c r="I38" s="688"/>
      <c r="J38" s="688"/>
      <c r="K38" s="688"/>
      <c r="L38" s="688"/>
      <c r="M38" s="688"/>
    </row>
    <row r="39" spans="2:13" ht="30" customHeight="1" x14ac:dyDescent="0.3">
      <c r="B39" s="686"/>
      <c r="C39" s="686"/>
      <c r="D39" s="686"/>
      <c r="E39" s="686"/>
      <c r="F39" s="686"/>
      <c r="G39" s="686"/>
      <c r="H39" s="686"/>
      <c r="I39" s="688"/>
      <c r="J39" s="688"/>
      <c r="K39" s="688"/>
      <c r="L39" s="688"/>
      <c r="M39" s="688"/>
    </row>
    <row r="40" spans="2:13" ht="30" customHeight="1" x14ac:dyDescent="0.3">
      <c r="B40" s="686"/>
      <c r="C40" s="686"/>
      <c r="D40" s="686"/>
      <c r="E40" s="686"/>
      <c r="F40" s="686"/>
      <c r="G40" s="686"/>
      <c r="H40" s="686"/>
      <c r="I40" s="688"/>
      <c r="J40" s="688"/>
      <c r="K40" s="688"/>
      <c r="L40" s="688"/>
      <c r="M40" s="688"/>
    </row>
    <row r="41" spans="2:13" ht="30" customHeight="1" x14ac:dyDescent="0.3">
      <c r="B41" s="686"/>
      <c r="C41" s="686"/>
      <c r="D41" s="686"/>
      <c r="E41" s="686"/>
      <c r="F41" s="686"/>
      <c r="G41" s="686"/>
      <c r="H41" s="686"/>
      <c r="I41" s="688"/>
      <c r="J41" s="688"/>
      <c r="K41" s="688"/>
      <c r="L41" s="688"/>
      <c r="M41" s="688"/>
    </row>
    <row r="42" spans="2:13" ht="30" customHeight="1" x14ac:dyDescent="0.3">
      <c r="B42" s="686"/>
      <c r="C42" s="686"/>
      <c r="D42" s="686"/>
      <c r="E42" s="686"/>
      <c r="F42" s="686"/>
      <c r="G42" s="686"/>
      <c r="H42" s="686"/>
      <c r="I42" s="688"/>
      <c r="J42" s="688"/>
      <c r="K42" s="688"/>
      <c r="L42" s="688"/>
      <c r="M42" s="688"/>
    </row>
    <row r="43" spans="2:13" ht="30" customHeight="1" x14ac:dyDescent="0.3">
      <c r="B43" s="686"/>
      <c r="C43" s="686"/>
      <c r="D43" s="686"/>
      <c r="E43" s="686"/>
      <c r="F43" s="686"/>
      <c r="G43" s="686"/>
      <c r="H43" s="686"/>
      <c r="I43" s="688"/>
      <c r="J43" s="688"/>
      <c r="K43" s="688"/>
      <c r="L43" s="688"/>
      <c r="M43" s="688"/>
    </row>
    <row r="44" spans="2:13" ht="30" customHeight="1" x14ac:dyDescent="0.3">
      <c r="B44" s="686"/>
      <c r="C44" s="686"/>
      <c r="D44" s="686"/>
      <c r="E44" s="686"/>
      <c r="F44" s="686"/>
      <c r="G44" s="686"/>
      <c r="H44" s="686"/>
      <c r="I44" s="688"/>
      <c r="J44" s="688"/>
      <c r="K44" s="688"/>
      <c r="L44" s="688"/>
      <c r="M44" s="688"/>
    </row>
    <row r="45" spans="2:13" ht="30" customHeight="1" x14ac:dyDescent="0.3">
      <c r="B45" s="686"/>
      <c r="C45" s="686"/>
      <c r="D45" s="686"/>
      <c r="E45" s="686"/>
      <c r="F45" s="686"/>
      <c r="G45" s="686"/>
      <c r="H45" s="686"/>
      <c r="I45" s="688"/>
      <c r="J45" s="688"/>
      <c r="K45" s="688"/>
      <c r="L45" s="688"/>
      <c r="M45" s="688"/>
    </row>
    <row r="46" spans="2:13" ht="30" customHeight="1" x14ac:dyDescent="0.3">
      <c r="B46" s="686"/>
      <c r="C46" s="686"/>
      <c r="D46" s="686"/>
      <c r="E46" s="686"/>
      <c r="F46" s="686"/>
      <c r="G46" s="686"/>
      <c r="H46" s="686"/>
      <c r="I46" s="688"/>
      <c r="J46" s="688"/>
      <c r="K46" s="688"/>
      <c r="L46" s="688"/>
      <c r="M46" s="688"/>
    </row>
    <row r="47" spans="2:13" ht="30" customHeight="1" x14ac:dyDescent="0.3">
      <c r="B47" s="686"/>
      <c r="C47" s="686"/>
      <c r="D47" s="686"/>
      <c r="E47" s="686"/>
      <c r="F47" s="686"/>
      <c r="G47" s="686"/>
      <c r="H47" s="686"/>
      <c r="I47" s="688"/>
      <c r="J47" s="688"/>
      <c r="K47" s="688"/>
      <c r="L47" s="688"/>
      <c r="M47" s="688"/>
    </row>
    <row r="48" spans="2:13" ht="30" customHeight="1" x14ac:dyDescent="0.3">
      <c r="B48" s="686"/>
      <c r="C48" s="686"/>
      <c r="D48" s="686"/>
      <c r="E48" s="686"/>
      <c r="F48" s="686"/>
      <c r="G48" s="686"/>
      <c r="H48" s="686"/>
      <c r="I48" s="688"/>
      <c r="J48" s="688"/>
      <c r="K48" s="688"/>
      <c r="L48" s="688"/>
      <c r="M48" s="688"/>
    </row>
    <row r="49" spans="2:13" ht="30" customHeight="1" x14ac:dyDescent="0.3">
      <c r="B49" s="686"/>
      <c r="C49" s="686"/>
      <c r="D49" s="686"/>
      <c r="E49" s="686"/>
      <c r="F49" s="686"/>
      <c r="G49" s="686"/>
      <c r="H49" s="686"/>
      <c r="I49" s="688"/>
      <c r="J49" s="688"/>
      <c r="K49" s="688"/>
      <c r="L49" s="688"/>
      <c r="M49" s="688"/>
    </row>
    <row r="50" spans="2:13" ht="30" customHeight="1" x14ac:dyDescent="0.3">
      <c r="B50" s="686"/>
      <c r="C50" s="686"/>
      <c r="D50" s="686"/>
      <c r="E50" s="686"/>
      <c r="F50" s="686"/>
      <c r="G50" s="686"/>
      <c r="H50" s="686"/>
      <c r="I50" s="688"/>
      <c r="J50" s="688"/>
      <c r="K50" s="688"/>
      <c r="L50" s="688"/>
      <c r="M50" s="688"/>
    </row>
    <row r="51" spans="2:13" ht="30" customHeight="1" x14ac:dyDescent="0.3">
      <c r="B51" s="686"/>
      <c r="C51" s="686"/>
      <c r="D51" s="686"/>
      <c r="E51" s="686"/>
      <c r="F51" s="686"/>
      <c r="G51" s="686"/>
      <c r="H51" s="686"/>
      <c r="I51" s="688"/>
      <c r="J51" s="688"/>
      <c r="K51" s="688"/>
      <c r="L51" s="688"/>
      <c r="M51" s="688"/>
    </row>
    <row r="52" spans="2:13" ht="30" customHeight="1" x14ac:dyDescent="0.3">
      <c r="B52" s="686"/>
      <c r="C52" s="686"/>
      <c r="D52" s="686"/>
      <c r="E52" s="686"/>
      <c r="F52" s="686"/>
      <c r="G52" s="686"/>
      <c r="H52" s="686"/>
      <c r="I52" s="688"/>
      <c r="J52" s="688"/>
      <c r="K52" s="688"/>
      <c r="L52" s="688"/>
      <c r="M52" s="688"/>
    </row>
    <row r="53" spans="2:13" ht="30" customHeight="1" x14ac:dyDescent="0.3">
      <c r="B53" s="686"/>
      <c r="C53" s="686"/>
      <c r="D53" s="686"/>
      <c r="E53" s="686"/>
      <c r="F53" s="686"/>
      <c r="G53" s="686"/>
      <c r="H53" s="686"/>
      <c r="I53" s="688"/>
      <c r="J53" s="688"/>
      <c r="K53" s="688"/>
      <c r="L53" s="688"/>
      <c r="M53" s="688"/>
    </row>
    <row r="54" spans="2:13" ht="30" customHeight="1" x14ac:dyDescent="0.3">
      <c r="B54" s="686"/>
      <c r="C54" s="686"/>
      <c r="D54" s="686"/>
      <c r="E54" s="686"/>
      <c r="F54" s="686"/>
      <c r="G54" s="686"/>
      <c r="H54" s="686"/>
      <c r="I54" s="688"/>
      <c r="J54" s="688"/>
      <c r="K54" s="688"/>
      <c r="L54" s="688"/>
      <c r="M54" s="688"/>
    </row>
    <row r="55" spans="2:13" ht="30" customHeight="1" x14ac:dyDescent="0.3">
      <c r="B55" s="686"/>
      <c r="C55" s="686"/>
      <c r="D55" s="686"/>
      <c r="E55" s="686"/>
      <c r="F55" s="686"/>
      <c r="G55" s="686"/>
      <c r="H55" s="686"/>
      <c r="I55" s="688"/>
      <c r="J55" s="688"/>
      <c r="K55" s="688"/>
      <c r="L55" s="688"/>
      <c r="M55" s="688"/>
    </row>
    <row r="56" spans="2:13" ht="30" customHeight="1" x14ac:dyDescent="0.3">
      <c r="B56" s="686"/>
      <c r="C56" s="686"/>
      <c r="D56" s="686"/>
      <c r="E56" s="686"/>
      <c r="F56" s="686"/>
      <c r="G56" s="686"/>
      <c r="H56" s="686"/>
      <c r="I56" s="688"/>
      <c r="J56" s="688"/>
      <c r="K56" s="688"/>
      <c r="L56" s="688"/>
      <c r="M56" s="688"/>
    </row>
    <row r="57" spans="2:13" ht="30" customHeight="1" x14ac:dyDescent="0.3">
      <c r="B57" s="686"/>
      <c r="C57" s="686"/>
      <c r="D57" s="686"/>
      <c r="E57" s="686"/>
      <c r="F57" s="686"/>
      <c r="G57" s="686"/>
      <c r="H57" s="686"/>
      <c r="I57" s="688"/>
      <c r="J57" s="688"/>
      <c r="K57" s="688"/>
      <c r="L57" s="688"/>
      <c r="M57" s="688"/>
    </row>
    <row r="58" spans="2:13" ht="30" customHeight="1" x14ac:dyDescent="0.3">
      <c r="B58" s="686"/>
      <c r="C58" s="686"/>
      <c r="D58" s="686"/>
      <c r="E58" s="686"/>
      <c r="F58" s="686"/>
      <c r="G58" s="686"/>
      <c r="H58" s="686"/>
      <c r="I58" s="688"/>
      <c r="J58" s="688"/>
      <c r="K58" s="688"/>
      <c r="L58" s="688"/>
      <c r="M58" s="688"/>
    </row>
    <row r="59" spans="2:13" ht="30" customHeight="1" x14ac:dyDescent="0.3">
      <c r="B59" s="686"/>
      <c r="C59" s="686"/>
      <c r="D59" s="686"/>
      <c r="E59" s="686"/>
      <c r="F59" s="686"/>
      <c r="G59" s="686"/>
      <c r="H59" s="686"/>
      <c r="I59" s="688"/>
      <c r="J59" s="688"/>
      <c r="K59" s="688"/>
      <c r="L59" s="688"/>
      <c r="M59" s="688"/>
    </row>
    <row r="60" spans="2:13" ht="30" customHeight="1" x14ac:dyDescent="0.3">
      <c r="B60" s="686"/>
      <c r="C60" s="686"/>
      <c r="D60" s="686"/>
      <c r="E60" s="686"/>
      <c r="F60" s="686"/>
      <c r="G60" s="686"/>
      <c r="H60" s="686"/>
      <c r="I60" s="688"/>
      <c r="J60" s="688"/>
      <c r="K60" s="688"/>
      <c r="L60" s="688"/>
      <c r="M60" s="688"/>
    </row>
    <row r="61" spans="2:13" ht="30" customHeight="1" x14ac:dyDescent="0.3">
      <c r="B61" s="686"/>
      <c r="C61" s="686"/>
      <c r="D61" s="686"/>
      <c r="E61" s="686"/>
      <c r="F61" s="686"/>
      <c r="G61" s="686"/>
      <c r="H61" s="686"/>
      <c r="I61" s="688"/>
      <c r="J61" s="688"/>
      <c r="K61" s="688"/>
      <c r="L61" s="688"/>
      <c r="M61" s="688"/>
    </row>
    <row r="62" spans="2:13" ht="30" customHeight="1" x14ac:dyDescent="0.3">
      <c r="B62" s="686"/>
      <c r="C62" s="686"/>
      <c r="D62" s="686"/>
      <c r="E62" s="686"/>
      <c r="F62" s="686"/>
      <c r="G62" s="686"/>
      <c r="H62" s="686"/>
      <c r="I62" s="688"/>
      <c r="J62" s="688"/>
      <c r="K62" s="688"/>
      <c r="L62" s="688"/>
      <c r="M62" s="688"/>
    </row>
    <row r="63" spans="2:13" ht="30" customHeight="1" x14ac:dyDescent="0.3">
      <c r="B63" s="686"/>
      <c r="C63" s="686"/>
      <c r="D63" s="686"/>
      <c r="E63" s="686"/>
      <c r="F63" s="686"/>
      <c r="G63" s="686"/>
      <c r="H63" s="686"/>
      <c r="I63" s="688"/>
      <c r="J63" s="688"/>
      <c r="K63" s="688"/>
      <c r="L63" s="688"/>
      <c r="M63" s="688"/>
    </row>
    <row r="64" spans="2:13" ht="30" customHeight="1" x14ac:dyDescent="0.3">
      <c r="B64" s="686"/>
      <c r="C64" s="686"/>
      <c r="D64" s="686"/>
      <c r="E64" s="686"/>
      <c r="F64" s="686"/>
      <c r="G64" s="686"/>
      <c r="H64" s="686"/>
      <c r="I64" s="688"/>
      <c r="J64" s="688"/>
      <c r="K64" s="688"/>
      <c r="L64" s="688"/>
      <c r="M64" s="688"/>
    </row>
    <row r="65" spans="2:13" ht="30" customHeight="1" x14ac:dyDescent="0.3">
      <c r="B65" s="686"/>
      <c r="C65" s="686"/>
      <c r="D65" s="686"/>
      <c r="E65" s="686"/>
      <c r="F65" s="686"/>
      <c r="G65" s="686"/>
      <c r="H65" s="686"/>
      <c r="I65" s="688"/>
      <c r="J65" s="688"/>
      <c r="K65" s="688"/>
      <c r="L65" s="688"/>
      <c r="M65" s="688"/>
    </row>
    <row r="66" spans="2:13" ht="30" customHeight="1" x14ac:dyDescent="0.3">
      <c r="B66" s="686"/>
      <c r="C66" s="686"/>
      <c r="D66" s="686"/>
      <c r="E66" s="686"/>
      <c r="F66" s="686"/>
      <c r="G66" s="686"/>
      <c r="H66" s="686"/>
      <c r="I66" s="688"/>
      <c r="J66" s="688"/>
      <c r="K66" s="688"/>
      <c r="L66" s="688"/>
      <c r="M66" s="688"/>
    </row>
    <row r="67" spans="2:13" ht="30" customHeight="1" x14ac:dyDescent="0.3">
      <c r="B67" s="686"/>
      <c r="C67" s="686"/>
      <c r="D67" s="686"/>
      <c r="E67" s="686"/>
      <c r="F67" s="686"/>
      <c r="G67" s="686"/>
      <c r="H67" s="686"/>
      <c r="I67" s="688"/>
      <c r="J67" s="688"/>
      <c r="K67" s="688"/>
      <c r="L67" s="688"/>
      <c r="M67" s="688"/>
    </row>
    <row r="68" spans="2:13" ht="30" customHeight="1" x14ac:dyDescent="0.3">
      <c r="B68" s="686"/>
      <c r="C68" s="686"/>
      <c r="D68" s="686"/>
      <c r="E68" s="686"/>
      <c r="F68" s="686"/>
      <c r="G68" s="686"/>
      <c r="H68" s="686"/>
      <c r="I68" s="688"/>
      <c r="J68" s="688"/>
      <c r="K68" s="688"/>
      <c r="L68" s="688"/>
      <c r="M68" s="688"/>
    </row>
    <row r="69" spans="2:13" ht="30" customHeight="1" x14ac:dyDescent="0.3">
      <c r="B69" s="686"/>
      <c r="C69" s="686"/>
      <c r="D69" s="686"/>
      <c r="E69" s="686"/>
      <c r="F69" s="686"/>
      <c r="G69" s="686"/>
      <c r="H69" s="686"/>
      <c r="I69" s="688"/>
      <c r="J69" s="688"/>
      <c r="K69" s="688"/>
      <c r="L69" s="688"/>
      <c r="M69" s="688"/>
    </row>
    <row r="70" spans="2:13" ht="30" customHeight="1" x14ac:dyDescent="0.3">
      <c r="B70" s="686"/>
      <c r="C70" s="686"/>
      <c r="D70" s="686"/>
      <c r="E70" s="686"/>
      <c r="F70" s="686"/>
      <c r="G70" s="686"/>
      <c r="H70" s="686"/>
      <c r="I70" s="688"/>
      <c r="J70" s="688"/>
      <c r="K70" s="688"/>
      <c r="L70" s="688"/>
      <c r="M70" s="688"/>
    </row>
    <row r="71" spans="2:13" ht="30" customHeight="1" x14ac:dyDescent="0.3">
      <c r="B71" s="686"/>
      <c r="C71" s="686"/>
      <c r="D71" s="686"/>
      <c r="E71" s="686"/>
      <c r="F71" s="686"/>
      <c r="G71" s="686"/>
      <c r="H71" s="686"/>
      <c r="I71" s="688"/>
      <c r="J71" s="688"/>
      <c r="K71" s="688"/>
      <c r="L71" s="688"/>
      <c r="M71" s="688"/>
    </row>
    <row r="72" spans="2:13" ht="30" customHeight="1" x14ac:dyDescent="0.3">
      <c r="B72" s="686"/>
      <c r="C72" s="686"/>
      <c r="D72" s="686"/>
      <c r="E72" s="686"/>
      <c r="F72" s="686"/>
      <c r="G72" s="686"/>
      <c r="H72" s="686"/>
      <c r="I72" s="688"/>
      <c r="J72" s="688"/>
      <c r="K72" s="688"/>
      <c r="L72" s="688"/>
      <c r="M72" s="688"/>
    </row>
    <row r="73" spans="2:13" ht="30" customHeight="1" x14ac:dyDescent="0.3">
      <c r="B73" s="686"/>
      <c r="C73" s="686"/>
      <c r="D73" s="686"/>
      <c r="E73" s="686"/>
      <c r="F73" s="686"/>
      <c r="G73" s="686"/>
      <c r="H73" s="686"/>
      <c r="I73" s="688"/>
      <c r="J73" s="688"/>
      <c r="K73" s="688"/>
      <c r="L73" s="688"/>
      <c r="M73" s="688"/>
    </row>
    <row r="74" spans="2:13" ht="30" customHeight="1" x14ac:dyDescent="0.3">
      <c r="B74" s="686"/>
      <c r="C74" s="686"/>
      <c r="D74" s="686"/>
      <c r="E74" s="686"/>
      <c r="F74" s="686"/>
      <c r="G74" s="686"/>
      <c r="H74" s="686"/>
      <c r="I74" s="688"/>
      <c r="J74" s="688"/>
      <c r="K74" s="688"/>
      <c r="L74" s="688"/>
      <c r="M74" s="688"/>
    </row>
    <row r="75" spans="2:13" ht="30" customHeight="1" x14ac:dyDescent="0.3">
      <c r="B75" s="686"/>
      <c r="C75" s="686"/>
      <c r="D75" s="686"/>
      <c r="E75" s="686"/>
      <c r="F75" s="686"/>
      <c r="G75" s="686"/>
      <c r="H75" s="686"/>
      <c r="I75" s="688"/>
      <c r="J75" s="688"/>
      <c r="K75" s="688"/>
      <c r="L75" s="688"/>
      <c r="M75" s="688"/>
    </row>
    <row r="76" spans="2:13" ht="30" customHeight="1" x14ac:dyDescent="0.3">
      <c r="B76" s="686"/>
      <c r="C76" s="686"/>
      <c r="D76" s="686"/>
      <c r="E76" s="686"/>
      <c r="F76" s="686"/>
      <c r="G76" s="686"/>
      <c r="H76" s="686"/>
      <c r="I76" s="688"/>
      <c r="J76" s="688"/>
      <c r="K76" s="688"/>
      <c r="L76" s="688"/>
      <c r="M76" s="688"/>
    </row>
    <row r="77" spans="2:13" ht="30" customHeight="1" x14ac:dyDescent="0.3">
      <c r="B77" s="686"/>
      <c r="C77" s="686"/>
      <c r="D77" s="686"/>
      <c r="E77" s="686"/>
      <c r="F77" s="686"/>
      <c r="G77" s="686"/>
      <c r="H77" s="686"/>
      <c r="I77" s="688"/>
      <c r="J77" s="688"/>
      <c r="K77" s="688"/>
      <c r="L77" s="688"/>
      <c r="M77" s="688"/>
    </row>
    <row r="78" spans="2:13" ht="30" customHeight="1" x14ac:dyDescent="0.3">
      <c r="B78" s="686"/>
      <c r="C78" s="686"/>
      <c r="D78" s="686"/>
      <c r="E78" s="686"/>
      <c r="F78" s="686"/>
      <c r="G78" s="686"/>
      <c r="H78" s="686"/>
      <c r="I78" s="688"/>
      <c r="J78" s="688"/>
      <c r="K78" s="688"/>
      <c r="L78" s="688"/>
      <c r="M78" s="688"/>
    </row>
    <row r="79" spans="2:13" ht="30" customHeight="1" x14ac:dyDescent="0.3">
      <c r="B79" s="686"/>
      <c r="C79" s="686"/>
      <c r="D79" s="686"/>
      <c r="E79" s="686"/>
      <c r="F79" s="686"/>
      <c r="G79" s="686"/>
      <c r="H79" s="686"/>
      <c r="I79" s="688"/>
      <c r="J79" s="688"/>
      <c r="K79" s="688"/>
      <c r="L79" s="688"/>
      <c r="M79" s="688"/>
    </row>
    <row r="80" spans="2:13" ht="30" customHeight="1" x14ac:dyDescent="0.3">
      <c r="B80" s="686"/>
      <c r="C80" s="686"/>
      <c r="D80" s="686"/>
      <c r="E80" s="686"/>
      <c r="F80" s="686"/>
      <c r="G80" s="686"/>
      <c r="H80" s="686"/>
      <c r="I80" s="688"/>
      <c r="J80" s="688"/>
      <c r="K80" s="688"/>
      <c r="L80" s="688"/>
      <c r="M80" s="688"/>
    </row>
    <row r="81" spans="2:13" ht="30" customHeight="1" x14ac:dyDescent="0.3">
      <c r="B81" s="686"/>
      <c r="C81" s="686"/>
      <c r="D81" s="686"/>
      <c r="E81" s="686"/>
      <c r="F81" s="686"/>
      <c r="G81" s="686"/>
      <c r="H81" s="686"/>
      <c r="I81" s="688"/>
      <c r="J81" s="688"/>
      <c r="K81" s="688"/>
      <c r="L81" s="688"/>
      <c r="M81" s="688"/>
    </row>
    <row r="82" spans="2:13" ht="30" customHeight="1" x14ac:dyDescent="0.3">
      <c r="B82" s="686"/>
      <c r="C82" s="686"/>
      <c r="D82" s="686"/>
      <c r="E82" s="686"/>
      <c r="F82" s="686"/>
      <c r="G82" s="686"/>
      <c r="H82" s="686"/>
      <c r="I82" s="688"/>
      <c r="J82" s="688"/>
      <c r="K82" s="688"/>
      <c r="L82" s="688"/>
      <c r="M82" s="688"/>
    </row>
    <row r="83" spans="2:13" ht="30" customHeight="1" x14ac:dyDescent="0.3">
      <c r="B83" s="686"/>
      <c r="C83" s="686"/>
      <c r="D83" s="686"/>
      <c r="E83" s="686"/>
      <c r="F83" s="686"/>
      <c r="G83" s="686"/>
      <c r="H83" s="686"/>
      <c r="I83" s="688"/>
      <c r="J83" s="688"/>
      <c r="K83" s="688"/>
      <c r="L83" s="688"/>
      <c r="M83" s="688"/>
    </row>
    <row r="84" spans="2:13" ht="30" customHeight="1" x14ac:dyDescent="0.3">
      <c r="B84" s="686"/>
      <c r="C84" s="686"/>
      <c r="D84" s="686"/>
      <c r="E84" s="686"/>
      <c r="F84" s="686"/>
      <c r="G84" s="686"/>
      <c r="H84" s="686"/>
      <c r="I84" s="688"/>
      <c r="J84" s="688"/>
      <c r="K84" s="688"/>
      <c r="L84" s="688"/>
      <c r="M84" s="688"/>
    </row>
    <row r="85" spans="2:13" ht="30" customHeight="1" x14ac:dyDescent="0.3">
      <c r="B85" s="686"/>
      <c r="C85" s="686"/>
      <c r="D85" s="686"/>
      <c r="E85" s="686"/>
      <c r="F85" s="686"/>
      <c r="G85" s="686"/>
      <c r="H85" s="686"/>
      <c r="I85" s="688"/>
      <c r="J85" s="688"/>
      <c r="K85" s="688"/>
      <c r="L85" s="688"/>
      <c r="M85" s="688"/>
    </row>
    <row r="86" spans="2:13" ht="30" customHeight="1" x14ac:dyDescent="0.3">
      <c r="B86" s="686"/>
      <c r="C86" s="686"/>
      <c r="D86" s="686"/>
      <c r="E86" s="686"/>
      <c r="F86" s="686"/>
      <c r="G86" s="686"/>
      <c r="H86" s="686"/>
      <c r="I86" s="688"/>
      <c r="J86" s="688"/>
      <c r="K86" s="688"/>
      <c r="L86" s="688"/>
      <c r="M86" s="688"/>
    </row>
    <row r="87" spans="2:13" ht="30" customHeight="1" x14ac:dyDescent="0.3">
      <c r="B87" s="686"/>
      <c r="C87" s="686"/>
      <c r="D87" s="686"/>
      <c r="E87" s="686"/>
      <c r="F87" s="686"/>
      <c r="G87" s="686"/>
      <c r="H87" s="686"/>
      <c r="I87" s="688"/>
      <c r="J87" s="688"/>
      <c r="K87" s="688"/>
      <c r="L87" s="688"/>
      <c r="M87" s="688"/>
    </row>
    <row r="88" spans="2:13" ht="30" customHeight="1" x14ac:dyDescent="0.3">
      <c r="B88" s="686"/>
      <c r="C88" s="686"/>
      <c r="D88" s="686"/>
      <c r="E88" s="686"/>
      <c r="F88" s="686"/>
      <c r="G88" s="686"/>
      <c r="H88" s="686"/>
      <c r="I88" s="688"/>
      <c r="J88" s="688"/>
      <c r="K88" s="688"/>
      <c r="L88" s="688"/>
      <c r="M88" s="688"/>
    </row>
    <row r="89" spans="2:13" ht="30" customHeight="1" x14ac:dyDescent="0.3">
      <c r="B89" s="686"/>
      <c r="C89" s="686"/>
      <c r="D89" s="686"/>
      <c r="E89" s="686"/>
      <c r="F89" s="686"/>
      <c r="G89" s="686"/>
      <c r="H89" s="686"/>
      <c r="I89" s="688"/>
      <c r="J89" s="688"/>
      <c r="K89" s="688"/>
      <c r="L89" s="688"/>
      <c r="M89" s="688"/>
    </row>
    <row r="90" spans="2:13" ht="30" customHeight="1" x14ac:dyDescent="0.3">
      <c r="B90" s="686"/>
      <c r="C90" s="686"/>
      <c r="D90" s="686"/>
      <c r="E90" s="686"/>
      <c r="F90" s="686"/>
      <c r="G90" s="686"/>
      <c r="H90" s="686"/>
      <c r="I90" s="688"/>
      <c r="J90" s="688"/>
      <c r="K90" s="688"/>
      <c r="L90" s="688"/>
      <c r="M90" s="688"/>
    </row>
    <row r="91" spans="2:13" ht="30" customHeight="1" x14ac:dyDescent="0.3">
      <c r="B91" s="686"/>
      <c r="C91" s="686"/>
      <c r="D91" s="686"/>
      <c r="E91" s="686"/>
      <c r="F91" s="686"/>
      <c r="G91" s="686"/>
      <c r="H91" s="686"/>
      <c r="I91" s="688"/>
      <c r="J91" s="688"/>
      <c r="K91" s="688"/>
      <c r="L91" s="688"/>
      <c r="M91" s="688"/>
    </row>
    <row r="92" spans="2:13" ht="30" customHeight="1" x14ac:dyDescent="0.3">
      <c r="B92" s="686"/>
      <c r="C92" s="686"/>
      <c r="D92" s="686"/>
      <c r="E92" s="686"/>
      <c r="F92" s="686"/>
      <c r="G92" s="686"/>
      <c r="H92" s="686"/>
      <c r="I92" s="688"/>
      <c r="J92" s="688"/>
      <c r="K92" s="688"/>
      <c r="L92" s="688"/>
      <c r="M92" s="688"/>
    </row>
    <row r="93" spans="2:13" ht="30" customHeight="1" x14ac:dyDescent="0.3">
      <c r="B93" s="686"/>
      <c r="C93" s="686"/>
      <c r="D93" s="686"/>
      <c r="E93" s="686"/>
      <c r="F93" s="686"/>
      <c r="G93" s="686"/>
      <c r="H93" s="686"/>
      <c r="I93" s="688"/>
      <c r="J93" s="688"/>
      <c r="K93" s="688"/>
      <c r="L93" s="688"/>
      <c r="M93" s="688"/>
    </row>
    <row r="94" spans="2:13" ht="30" customHeight="1" x14ac:dyDescent="0.3">
      <c r="B94" s="686"/>
      <c r="C94" s="686"/>
      <c r="D94" s="686"/>
      <c r="E94" s="686"/>
      <c r="F94" s="686"/>
      <c r="G94" s="686"/>
      <c r="H94" s="686"/>
      <c r="I94" s="688"/>
      <c r="J94" s="688"/>
      <c r="K94" s="688"/>
      <c r="L94" s="688"/>
      <c r="M94" s="688"/>
    </row>
    <row r="95" spans="2:13" ht="30" customHeight="1" x14ac:dyDescent="0.3">
      <c r="B95" s="686"/>
      <c r="C95" s="686"/>
      <c r="D95" s="686"/>
      <c r="E95" s="686"/>
      <c r="F95" s="686"/>
      <c r="G95" s="686"/>
      <c r="H95" s="686"/>
      <c r="I95" s="688"/>
      <c r="J95" s="688"/>
      <c r="K95" s="688"/>
      <c r="L95" s="688"/>
      <c r="M95" s="68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B1:U49"/>
  <sheetViews>
    <sheetView workbookViewId="0">
      <selection activeCell="U10" sqref="U10"/>
    </sheetView>
  </sheetViews>
  <sheetFormatPr defaultColWidth="28.09765625" defaultRowHeight="16.5" customHeight="1" x14ac:dyDescent="0.3"/>
  <cols>
    <col min="1" max="1" width="4.19921875" style="828" customWidth="1"/>
    <col min="2" max="2" width="3" style="825" customWidth="1"/>
    <col min="3" max="3" width="8.59765625" style="828" customWidth="1"/>
    <col min="4" max="4" width="7.59765625" style="829" customWidth="1"/>
    <col min="5" max="5" width="8.09765625" style="828" customWidth="1"/>
    <col min="6" max="6" width="9.59765625" style="828" customWidth="1"/>
    <col min="7" max="7" width="4.3984375" style="828" customWidth="1"/>
    <col min="8" max="8" width="5" style="828" customWidth="1"/>
    <col min="9" max="9" width="6.3984375" style="828" customWidth="1"/>
    <col min="10" max="10" width="6.09765625" style="828" customWidth="1"/>
    <col min="11" max="11" width="5.3984375" style="828" customWidth="1"/>
    <col min="12" max="12" width="9" style="828" customWidth="1"/>
    <col min="13" max="13" width="7.09765625" style="828" customWidth="1"/>
    <col min="14" max="14" width="5.69921875" style="828" customWidth="1"/>
    <col min="15" max="15" width="9.19921875" style="828" customWidth="1"/>
    <col min="16" max="16" width="17.3984375" style="828" customWidth="1"/>
    <col min="17" max="17" width="3" style="828" customWidth="1"/>
    <col min="18" max="18" width="10.8984375" style="828" customWidth="1"/>
    <col min="19" max="19" width="5.19921875" style="828" customWidth="1"/>
    <col min="20" max="20" width="10.59765625" style="828" customWidth="1"/>
    <col min="21" max="21" width="10.59765625" style="1305" customWidth="1"/>
    <col min="22" max="31" width="10.59765625" style="828" customWidth="1"/>
    <col min="32" max="16384" width="28.09765625" style="828"/>
  </cols>
  <sheetData>
    <row r="1" spans="2:21" ht="16.5" customHeight="1" x14ac:dyDescent="0.3">
      <c r="B1" s="828"/>
    </row>
    <row r="2" spans="2:21" s="1023" customFormat="1" ht="18" customHeight="1" x14ac:dyDescent="0.35">
      <c r="B2" s="923" t="str">
        <f>Inicio!J6</f>
        <v>Estudante</v>
      </c>
      <c r="C2" s="923"/>
      <c r="D2" s="1022"/>
      <c r="E2" s="923" t="s">
        <v>256</v>
      </c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</row>
    <row r="3" spans="2:21" ht="18" customHeight="1" x14ac:dyDescent="0.3">
      <c r="C3" s="1139" t="s">
        <v>373</v>
      </c>
      <c r="D3" s="827"/>
      <c r="E3" s="859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6"/>
      <c r="U3" s="828"/>
    </row>
    <row r="4" spans="2:21" ht="15.6" x14ac:dyDescent="0.3">
      <c r="C4" s="828" t="s">
        <v>398</v>
      </c>
      <c r="D4" s="828"/>
      <c r="P4" s="1246"/>
      <c r="Q4" s="826"/>
      <c r="R4" s="1304"/>
      <c r="U4" s="828"/>
    </row>
    <row r="5" spans="2:21" ht="16.5" customHeight="1" x14ac:dyDescent="0.3">
      <c r="C5" s="1139" t="s">
        <v>374</v>
      </c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Q5" s="826"/>
    </row>
    <row r="6" spans="2:21" ht="16.8" thickBot="1" x14ac:dyDescent="0.35">
      <c r="C6" s="1306">
        <v>35</v>
      </c>
      <c r="D6" s="1139" t="s">
        <v>375</v>
      </c>
      <c r="E6" s="1139"/>
      <c r="F6" s="1139"/>
      <c r="G6" s="1139"/>
      <c r="H6" s="1139"/>
      <c r="I6" s="1139"/>
      <c r="J6" s="1139"/>
      <c r="K6" s="1139"/>
      <c r="L6" s="1139"/>
      <c r="M6" s="1533">
        <v>342</v>
      </c>
      <c r="N6" s="1533"/>
      <c r="O6" s="1307" t="s">
        <v>384</v>
      </c>
      <c r="P6" s="1304"/>
      <c r="Q6" s="826"/>
      <c r="R6" s="1304"/>
      <c r="U6" s="828"/>
    </row>
    <row r="7" spans="2:21" ht="16.2" thickBot="1" x14ac:dyDescent="0.35">
      <c r="C7" s="1308"/>
      <c r="D7" s="1505" t="s">
        <v>428</v>
      </c>
      <c r="E7" s="1506"/>
      <c r="F7" s="1542" t="s">
        <v>252</v>
      </c>
      <c r="G7" s="1543"/>
      <c r="H7" s="1543"/>
      <c r="I7" s="1544"/>
      <c r="J7" s="1309" t="s">
        <v>248</v>
      </c>
      <c r="K7" s="1310"/>
      <c r="L7" s="1310"/>
      <c r="M7" s="1311"/>
      <c r="Q7" s="826"/>
      <c r="U7" s="828"/>
    </row>
    <row r="8" spans="2:21" ht="15.6" x14ac:dyDescent="0.3">
      <c r="C8" s="1312" t="s">
        <v>13</v>
      </c>
      <c r="D8" s="1547">
        <f>C6</f>
        <v>35</v>
      </c>
      <c r="E8" s="1548"/>
      <c r="F8" s="1534">
        <f>J8-D8</f>
        <v>65</v>
      </c>
      <c r="G8" s="1535"/>
      <c r="H8" s="1535"/>
      <c r="I8" s="1536"/>
      <c r="J8" s="1537">
        <v>100</v>
      </c>
      <c r="K8" s="1538"/>
      <c r="L8" s="1538"/>
      <c r="M8" s="1539"/>
      <c r="O8" s="1569"/>
      <c r="P8" s="1569"/>
      <c r="Q8" s="826"/>
      <c r="U8" s="828"/>
    </row>
    <row r="9" spans="2:21" ht="16.2" thickBot="1" x14ac:dyDescent="0.35">
      <c r="C9" s="1313" t="s">
        <v>251</v>
      </c>
      <c r="D9" s="1570" t="s">
        <v>250</v>
      </c>
      <c r="E9" s="1571"/>
      <c r="F9" s="1572">
        <f>M6</f>
        <v>342</v>
      </c>
      <c r="G9" s="1573"/>
      <c r="H9" s="1573"/>
      <c r="I9" s="1574"/>
      <c r="J9" s="1575" t="s">
        <v>369</v>
      </c>
      <c r="K9" s="1576"/>
      <c r="L9" s="1576"/>
      <c r="M9" s="1577"/>
      <c r="O9" s="1569"/>
      <c r="P9" s="1569"/>
      <c r="Q9" s="826"/>
      <c r="U9" s="828"/>
    </row>
    <row r="10" spans="2:21" ht="15" customHeight="1" x14ac:dyDescent="0.3">
      <c r="D10" s="828"/>
      <c r="I10" s="920" t="s">
        <v>224</v>
      </c>
      <c r="Q10" s="826"/>
      <c r="U10" s="828"/>
    </row>
    <row r="11" spans="2:21" ht="15.6" x14ac:dyDescent="0.3">
      <c r="C11" s="1546">
        <f>F8</f>
        <v>65</v>
      </c>
      <c r="D11" s="1546"/>
      <c r="E11" s="1582" t="s">
        <v>3</v>
      </c>
      <c r="F11" s="1546">
        <f>D8</f>
        <v>35</v>
      </c>
      <c r="G11" s="1546"/>
      <c r="H11" s="1546"/>
      <c r="L11" s="1314"/>
      <c r="M11" s="1314"/>
      <c r="N11" s="1314"/>
      <c r="Q11" s="826"/>
      <c r="U11" s="828"/>
    </row>
    <row r="12" spans="2:21" ht="15.6" x14ac:dyDescent="0.3">
      <c r="C12" s="1545">
        <f>F9</f>
        <v>342</v>
      </c>
      <c r="D12" s="1545"/>
      <c r="E12" s="1582"/>
      <c r="F12" s="1583" t="str">
        <f>D9</f>
        <v>E</v>
      </c>
      <c r="G12" s="1583"/>
      <c r="H12" s="1583"/>
      <c r="L12" s="1314"/>
      <c r="M12" s="1315"/>
      <c r="N12" s="1315"/>
      <c r="Q12" s="826"/>
      <c r="U12" s="828"/>
    </row>
    <row r="13" spans="2:21" ht="12.75" customHeight="1" x14ac:dyDescent="0.3">
      <c r="C13" s="1249"/>
      <c r="D13" s="1249"/>
      <c r="E13" s="1249"/>
      <c r="F13" s="919"/>
      <c r="G13" s="1316"/>
      <c r="H13" s="1316"/>
      <c r="I13" s="1316"/>
      <c r="J13" s="919"/>
      <c r="K13" s="1317"/>
      <c r="L13" s="1317"/>
      <c r="M13" s="1317"/>
      <c r="N13" s="1314"/>
      <c r="O13" s="1315"/>
      <c r="P13" s="1315"/>
      <c r="Q13" s="826"/>
      <c r="U13" s="828"/>
    </row>
    <row r="14" spans="2:21" ht="15.6" x14ac:dyDescent="0.3">
      <c r="C14" s="1308"/>
      <c r="D14" s="1318" t="str">
        <f>F7</f>
        <v>Gasolina Pura</v>
      </c>
      <c r="E14" s="1319"/>
      <c r="F14" s="1319"/>
      <c r="G14" s="1320" t="s">
        <v>253</v>
      </c>
      <c r="H14" s="1321"/>
      <c r="I14" s="1322"/>
      <c r="P14" s="829"/>
      <c r="Q14" s="826"/>
      <c r="U14" s="828"/>
    </row>
    <row r="15" spans="2:21" ht="15.6" x14ac:dyDescent="0.3">
      <c r="C15" s="1323" t="s">
        <v>13</v>
      </c>
      <c r="D15" s="1584">
        <f>F8</f>
        <v>65</v>
      </c>
      <c r="E15" s="1546"/>
      <c r="F15" s="1582" t="s">
        <v>3</v>
      </c>
      <c r="G15" s="1546">
        <f>D8</f>
        <v>35</v>
      </c>
      <c r="H15" s="1546"/>
      <c r="I15" s="1585"/>
      <c r="J15" s="1554"/>
      <c r="Q15" s="826"/>
      <c r="U15" s="828"/>
    </row>
    <row r="16" spans="2:21" ht="15.6" x14ac:dyDescent="0.3">
      <c r="C16" s="1324" t="s">
        <v>20</v>
      </c>
      <c r="D16" s="1555">
        <f>F9</f>
        <v>342</v>
      </c>
      <c r="E16" s="1556"/>
      <c r="F16" s="1552"/>
      <c r="G16" s="1557" t="str">
        <f>D9</f>
        <v>E</v>
      </c>
      <c r="H16" s="1557"/>
      <c r="I16" s="1558"/>
      <c r="J16" s="1554"/>
      <c r="Q16" s="826"/>
      <c r="T16" s="1246"/>
      <c r="U16" s="828"/>
    </row>
    <row r="17" spans="2:21" s="838" customFormat="1" ht="15.6" x14ac:dyDescent="0.3">
      <c r="B17" s="825"/>
      <c r="Q17" s="826"/>
    </row>
    <row r="18" spans="2:21" s="838" customFormat="1" ht="15.6" x14ac:dyDescent="0.3">
      <c r="B18" s="825"/>
      <c r="C18" s="1547">
        <f>D15</f>
        <v>65</v>
      </c>
      <c r="D18" s="1578"/>
      <c r="E18" s="1325" t="s">
        <v>22</v>
      </c>
      <c r="F18" s="1326" t="str">
        <f>G16</f>
        <v>E</v>
      </c>
      <c r="G18" s="1325" t="s">
        <v>3</v>
      </c>
      <c r="H18" s="1325"/>
      <c r="I18" s="1579">
        <f>D16</f>
        <v>342</v>
      </c>
      <c r="J18" s="1579"/>
      <c r="K18" s="1579"/>
      <c r="L18" s="1327" t="s">
        <v>22</v>
      </c>
      <c r="M18" s="1580">
        <f>G15</f>
        <v>35</v>
      </c>
      <c r="N18" s="1580"/>
      <c r="O18" s="1581"/>
      <c r="Q18" s="826"/>
    </row>
    <row r="19" spans="2:21" s="838" customFormat="1" ht="25.5" customHeight="1" x14ac:dyDescent="0.3">
      <c r="B19" s="825"/>
      <c r="C19" s="1549" t="str">
        <f>G16</f>
        <v>E</v>
      </c>
      <c r="D19" s="1551" t="s">
        <v>3</v>
      </c>
      <c r="E19" s="1553">
        <f>I18</f>
        <v>342</v>
      </c>
      <c r="F19" s="1553"/>
      <c r="G19" s="1328" t="s">
        <v>22</v>
      </c>
      <c r="H19" s="1535">
        <f>G15</f>
        <v>35</v>
      </c>
      <c r="I19" s="1535"/>
      <c r="J19" s="1567" t="s">
        <v>3</v>
      </c>
      <c r="K19" s="1540">
        <f>E19*H19/E20</f>
        <v>184.15384615384616</v>
      </c>
      <c r="L19" s="1540"/>
      <c r="M19" s="1540"/>
      <c r="N19" s="1329"/>
      <c r="O19" s="1330"/>
      <c r="Q19" s="826"/>
    </row>
    <row r="20" spans="2:21" s="838" customFormat="1" ht="15.6" x14ac:dyDescent="0.3">
      <c r="B20" s="825"/>
      <c r="C20" s="1550"/>
      <c r="D20" s="1552"/>
      <c r="E20" s="1535">
        <f>C18</f>
        <v>65</v>
      </c>
      <c r="F20" s="1535"/>
      <c r="G20" s="1535"/>
      <c r="H20" s="1535"/>
      <c r="I20" s="1535"/>
      <c r="J20" s="1568"/>
      <c r="K20" s="1541"/>
      <c r="L20" s="1541"/>
      <c r="M20" s="1541"/>
      <c r="N20" s="1331"/>
      <c r="O20" s="1332"/>
      <c r="Q20" s="826"/>
    </row>
    <row r="21" spans="2:21" ht="15.6" x14ac:dyDescent="0.3">
      <c r="C21" s="832"/>
      <c r="D21" s="832"/>
      <c r="E21" s="832"/>
      <c r="F21" s="832"/>
      <c r="G21" s="829"/>
      <c r="H21" s="829"/>
      <c r="I21" s="829"/>
      <c r="J21" s="829"/>
      <c r="K21" s="829"/>
      <c r="L21" s="829"/>
      <c r="M21" s="829"/>
      <c r="N21" s="829"/>
      <c r="Q21" s="826"/>
      <c r="U21" s="828"/>
    </row>
    <row r="22" spans="2:21" ht="15.6" x14ac:dyDescent="0.3">
      <c r="C22" s="1333" t="s">
        <v>254</v>
      </c>
      <c r="D22" s="1329"/>
      <c r="E22" s="1329"/>
      <c r="F22" s="1329"/>
      <c r="G22" s="1319"/>
      <c r="H22" s="1563" t="str">
        <f>CONCATENATE(M6,O6,"=")</f>
        <v>342litros de gasolina pura?=</v>
      </c>
      <c r="I22" s="1563"/>
      <c r="J22" s="1563"/>
      <c r="K22" s="1506"/>
      <c r="L22" s="1564">
        <f>K19</f>
        <v>184.15384615384616</v>
      </c>
      <c r="M22" s="1565"/>
      <c r="N22" s="1566"/>
      <c r="O22" s="1322" t="str">
        <f>O6</f>
        <v>litros de gasolina pura?</v>
      </c>
      <c r="P22" s="829"/>
      <c r="Q22" s="826"/>
      <c r="U22" s="828"/>
    </row>
    <row r="23" spans="2:21" ht="15.6" x14ac:dyDescent="0.3">
      <c r="C23" s="1017" t="s">
        <v>370</v>
      </c>
      <c r="D23" s="1018">
        <f>C6/100</f>
        <v>0.35</v>
      </c>
      <c r="E23" s="1248" t="s">
        <v>371</v>
      </c>
      <c r="F23" s="1019">
        <f>F9</f>
        <v>342</v>
      </c>
      <c r="G23" s="1020" t="s">
        <v>19</v>
      </c>
      <c r="H23" s="1559">
        <f>L22</f>
        <v>184.15384615384616</v>
      </c>
      <c r="I23" s="1560"/>
      <c r="J23" s="1020" t="s">
        <v>132</v>
      </c>
      <c r="K23" s="1024">
        <f>D23</f>
        <v>0.35</v>
      </c>
      <c r="L23" s="1020" t="s">
        <v>22</v>
      </c>
      <c r="M23" s="1561">
        <f>L22+F9</f>
        <v>526.15384615384619</v>
      </c>
      <c r="N23" s="1562"/>
      <c r="O23" s="1021" t="s">
        <v>3</v>
      </c>
      <c r="P23" s="829">
        <f>K23*M23</f>
        <v>184.15384615384616</v>
      </c>
      <c r="Q23" s="826"/>
      <c r="U23" s="828"/>
    </row>
    <row r="24" spans="2:21" ht="13.5" customHeight="1" x14ac:dyDescent="0.3"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6"/>
      <c r="U24" s="828"/>
    </row>
    <row r="25" spans="2:21" ht="15.6" x14ac:dyDescent="0.3">
      <c r="B25" s="859"/>
      <c r="C25" s="832"/>
      <c r="D25" s="832"/>
      <c r="E25" s="832"/>
      <c r="F25" s="832"/>
      <c r="G25" s="832"/>
      <c r="H25" s="832"/>
      <c r="I25" s="832"/>
      <c r="J25" s="832"/>
      <c r="K25" s="832"/>
      <c r="L25" s="832"/>
      <c r="M25" s="832"/>
      <c r="N25" s="832"/>
      <c r="O25" s="832"/>
      <c r="P25" s="829"/>
      <c r="Q25" s="827"/>
      <c r="U25" s="828"/>
    </row>
    <row r="26" spans="2:21" ht="15.6" x14ac:dyDescent="0.3">
      <c r="B26" s="859"/>
      <c r="C26" s="1314"/>
      <c r="D26" s="1314"/>
      <c r="E26" s="1249"/>
      <c r="F26" s="1334"/>
      <c r="G26" s="1249"/>
      <c r="H26" s="1249"/>
      <c r="I26" s="1315"/>
      <c r="J26" s="1315"/>
      <c r="K26" s="1315"/>
      <c r="L26" s="832"/>
      <c r="M26" s="1314"/>
      <c r="N26" s="1314"/>
      <c r="O26" s="1314"/>
      <c r="P26" s="829"/>
      <c r="Q26" s="827"/>
      <c r="U26" s="828"/>
    </row>
    <row r="27" spans="2:21" ht="15.6" x14ac:dyDescent="0.3">
      <c r="B27" s="859"/>
      <c r="C27" s="1335"/>
      <c r="D27" s="1336"/>
      <c r="E27" s="1337"/>
      <c r="F27" s="1337"/>
      <c r="G27" s="1338"/>
      <c r="H27" s="832"/>
      <c r="I27" s="1339"/>
      <c r="J27" s="1340"/>
      <c r="K27" s="1341"/>
      <c r="L27" s="1341"/>
      <c r="M27" s="1341"/>
      <c r="N27" s="832"/>
      <c r="O27" s="832"/>
      <c r="P27" s="829"/>
      <c r="Q27" s="827"/>
      <c r="U27" s="828"/>
    </row>
    <row r="28" spans="2:21" ht="15.6" x14ac:dyDescent="0.3">
      <c r="B28" s="859"/>
      <c r="C28" s="1335"/>
      <c r="D28" s="1336"/>
      <c r="E28" s="1314"/>
      <c r="F28" s="1314"/>
      <c r="G28" s="1314"/>
      <c r="H28" s="1314"/>
      <c r="I28" s="1314"/>
      <c r="J28" s="1340"/>
      <c r="K28" s="1341"/>
      <c r="L28" s="1341"/>
      <c r="M28" s="1341"/>
      <c r="N28" s="832"/>
      <c r="O28" s="832"/>
      <c r="P28" s="829"/>
      <c r="U28" s="828"/>
    </row>
    <row r="29" spans="2:21" ht="15.6" x14ac:dyDescent="0.3">
      <c r="B29" s="859"/>
      <c r="C29" s="832"/>
      <c r="D29" s="1335"/>
      <c r="E29" s="1336"/>
      <c r="F29" s="832"/>
      <c r="G29" s="832"/>
      <c r="H29" s="832"/>
      <c r="I29" s="832"/>
      <c r="J29" s="1340"/>
      <c r="K29" s="1341"/>
      <c r="L29" s="1341"/>
      <c r="M29" s="1341"/>
      <c r="N29" s="829"/>
      <c r="U29" s="828"/>
    </row>
    <row r="30" spans="2:21" ht="15.6" x14ac:dyDescent="0.3">
      <c r="B30" s="859"/>
      <c r="N30" s="829"/>
      <c r="U30" s="828"/>
    </row>
    <row r="31" spans="2:21" ht="15.6" x14ac:dyDescent="0.3">
      <c r="B31" s="859"/>
      <c r="N31" s="829"/>
      <c r="U31" s="828"/>
    </row>
    <row r="32" spans="2:21" ht="15.6" x14ac:dyDescent="0.3">
      <c r="B32" s="859"/>
      <c r="N32" s="829"/>
      <c r="U32" s="828"/>
    </row>
    <row r="33" spans="2:21" ht="15.6" x14ac:dyDescent="0.3">
      <c r="B33" s="859"/>
      <c r="C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U33" s="828"/>
    </row>
    <row r="34" spans="2:21" ht="15.6" x14ac:dyDescent="0.3">
      <c r="B34" s="859"/>
      <c r="C34" s="829"/>
      <c r="E34" s="829"/>
      <c r="F34" s="829"/>
      <c r="G34" s="829"/>
      <c r="H34" s="829"/>
      <c r="I34" s="829"/>
      <c r="J34" s="829"/>
      <c r="K34" s="829"/>
      <c r="L34" s="829"/>
      <c r="M34" s="829"/>
      <c r="N34" s="829"/>
      <c r="U34" s="828"/>
    </row>
    <row r="35" spans="2:21" ht="16.5" customHeight="1" x14ac:dyDescent="0.3">
      <c r="B35" s="859"/>
    </row>
    <row r="36" spans="2:21" ht="16.5" customHeight="1" x14ac:dyDescent="0.3">
      <c r="B36" s="859"/>
    </row>
    <row r="37" spans="2:21" ht="16.5" customHeight="1" x14ac:dyDescent="0.3">
      <c r="B37" s="859"/>
    </row>
    <row r="38" spans="2:21" ht="16.5" customHeight="1" x14ac:dyDescent="0.3">
      <c r="B38" s="859"/>
    </row>
    <row r="39" spans="2:21" ht="16.5" customHeight="1" x14ac:dyDescent="0.3">
      <c r="B39" s="859"/>
    </row>
    <row r="40" spans="2:21" ht="16.5" customHeight="1" x14ac:dyDescent="0.3">
      <c r="B40" s="859"/>
    </row>
    <row r="41" spans="2:21" ht="16.5" customHeight="1" x14ac:dyDescent="0.3">
      <c r="B41" s="859"/>
    </row>
    <row r="42" spans="2:21" ht="16.5" customHeight="1" x14ac:dyDescent="0.3">
      <c r="B42" s="859"/>
    </row>
    <row r="43" spans="2:21" ht="16.5" customHeight="1" x14ac:dyDescent="0.3">
      <c r="B43" s="859"/>
    </row>
    <row r="44" spans="2:21" ht="16.5" customHeight="1" x14ac:dyDescent="0.3">
      <c r="B44" s="859"/>
    </row>
    <row r="45" spans="2:21" ht="16.5" customHeight="1" x14ac:dyDescent="0.3">
      <c r="B45" s="859"/>
    </row>
    <row r="46" spans="2:21" ht="16.5" customHeight="1" x14ac:dyDescent="0.3">
      <c r="B46" s="859"/>
    </row>
    <row r="47" spans="2:21" ht="16.5" customHeight="1" x14ac:dyDescent="0.3">
      <c r="B47" s="859"/>
    </row>
    <row r="48" spans="2:21" ht="16.5" customHeight="1" x14ac:dyDescent="0.3">
      <c r="B48" s="859"/>
    </row>
    <row r="49" spans="2:2" ht="16.5" customHeight="1" x14ac:dyDescent="0.3">
      <c r="B49" s="859"/>
    </row>
  </sheetData>
  <mergeCells count="35">
    <mergeCell ref="O8:P9"/>
    <mergeCell ref="D9:E9"/>
    <mergeCell ref="F9:I9"/>
    <mergeCell ref="J9:M9"/>
    <mergeCell ref="C18:D18"/>
    <mergeCell ref="I18:K18"/>
    <mergeCell ref="M18:O18"/>
    <mergeCell ref="E11:E12"/>
    <mergeCell ref="F11:H11"/>
    <mergeCell ref="F12:H12"/>
    <mergeCell ref="D15:E15"/>
    <mergeCell ref="F15:F16"/>
    <mergeCell ref="G15:I15"/>
    <mergeCell ref="H23:I23"/>
    <mergeCell ref="M23:N23"/>
    <mergeCell ref="H22:K22"/>
    <mergeCell ref="L22:N22"/>
    <mergeCell ref="H19:I19"/>
    <mergeCell ref="J19:J20"/>
    <mergeCell ref="E20:I20"/>
    <mergeCell ref="M6:N6"/>
    <mergeCell ref="D7:E7"/>
    <mergeCell ref="F8:I8"/>
    <mergeCell ref="J8:M8"/>
    <mergeCell ref="K19:M20"/>
    <mergeCell ref="F7:I7"/>
    <mergeCell ref="C12:D12"/>
    <mergeCell ref="C11:D11"/>
    <mergeCell ref="D8:E8"/>
    <mergeCell ref="C19:C20"/>
    <mergeCell ref="D19:D20"/>
    <mergeCell ref="E19:F19"/>
    <mergeCell ref="J15:J16"/>
    <mergeCell ref="D16:E16"/>
    <mergeCell ref="G16:I1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U49"/>
  <sheetViews>
    <sheetView workbookViewId="0">
      <selection activeCell="R1" sqref="R1"/>
    </sheetView>
  </sheetViews>
  <sheetFormatPr defaultColWidth="28.09765625" defaultRowHeight="16.5" customHeight="1" x14ac:dyDescent="0.4"/>
  <cols>
    <col min="1" max="1" width="4.3984375" style="709" customWidth="1"/>
    <col min="2" max="2" width="3" style="768" customWidth="1"/>
    <col min="3" max="3" width="8.59765625" style="709" customWidth="1"/>
    <col min="4" max="4" width="7.59765625" style="713" customWidth="1"/>
    <col min="5" max="5" width="10.5" style="709" customWidth="1"/>
    <col min="6" max="6" width="11.3984375" style="709" customWidth="1"/>
    <col min="7" max="7" width="4.3984375" style="709" customWidth="1"/>
    <col min="8" max="8" width="5" style="709" customWidth="1"/>
    <col min="9" max="9" width="8.8984375" style="709" customWidth="1"/>
    <col min="10" max="10" width="6.09765625" style="709" customWidth="1"/>
    <col min="11" max="11" width="5.3984375" style="709" customWidth="1"/>
    <col min="12" max="12" width="5.8984375" style="709" customWidth="1"/>
    <col min="13" max="13" width="3.8984375" style="709" customWidth="1"/>
    <col min="14" max="14" width="6.3984375" style="709" customWidth="1"/>
    <col min="15" max="15" width="11.8984375" style="709" customWidth="1"/>
    <col min="16" max="16" width="22.19921875" style="709" customWidth="1"/>
    <col min="17" max="17" width="1.8984375" style="709" bestFit="1" customWidth="1"/>
    <col min="18" max="18" width="10.8984375" style="709" customWidth="1"/>
    <col min="19" max="19" width="5.19921875" style="709" customWidth="1"/>
    <col min="20" max="20" width="10.59765625" style="709" customWidth="1"/>
    <col min="21" max="21" width="10.59765625" customWidth="1"/>
    <col min="22" max="31" width="10.59765625" style="709" customWidth="1"/>
    <col min="32" max="16384" width="28.09765625" style="709"/>
  </cols>
  <sheetData>
    <row r="1" spans="2:21" ht="16.5" customHeight="1" x14ac:dyDescent="0.4">
      <c r="B1" s="709"/>
    </row>
    <row r="2" spans="2:21" ht="16.5" customHeight="1" x14ac:dyDescent="0.4">
      <c r="B2" s="768" t="str">
        <f>Inicio!J6</f>
        <v>Estudante</v>
      </c>
      <c r="C2" s="768"/>
      <c r="D2" s="769"/>
      <c r="E2" s="768" t="s">
        <v>256</v>
      </c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U2" s="709"/>
    </row>
    <row r="3" spans="2:21" ht="16.5" customHeight="1" x14ac:dyDescent="0.4">
      <c r="C3" s="1025" t="s">
        <v>373</v>
      </c>
      <c r="D3" s="771"/>
      <c r="E3" s="770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69"/>
      <c r="U3" s="709"/>
    </row>
    <row r="4" spans="2:21" ht="16.5" customHeight="1" x14ac:dyDescent="0.4">
      <c r="C4" s="709" t="s">
        <v>398</v>
      </c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14"/>
      <c r="Q4" s="769"/>
      <c r="U4" s="709"/>
    </row>
    <row r="5" spans="2:21" ht="16.5" customHeight="1" x14ac:dyDescent="0.4">
      <c r="C5" s="1025" t="s">
        <v>374</v>
      </c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1014"/>
      <c r="Q5" s="769"/>
      <c r="U5" s="709"/>
    </row>
    <row r="6" spans="2:21" ht="16.5" customHeight="1" thickBot="1" x14ac:dyDescent="0.45">
      <c r="C6" s="763">
        <v>31</v>
      </c>
      <c r="D6" s="1025" t="s">
        <v>405</v>
      </c>
      <c r="E6" s="1025"/>
      <c r="F6" s="1025"/>
      <c r="G6" s="1025"/>
      <c r="H6" s="1025"/>
      <c r="I6" s="1025"/>
      <c r="J6" s="1025"/>
      <c r="K6" s="1025"/>
      <c r="L6" s="1025"/>
      <c r="M6" s="1612">
        <v>798</v>
      </c>
      <c r="N6" s="1612"/>
      <c r="O6" s="1027" t="s">
        <v>385</v>
      </c>
      <c r="P6" s="1026"/>
      <c r="Q6" s="769"/>
      <c r="U6" s="709"/>
    </row>
    <row r="7" spans="2:21" ht="16.5" customHeight="1" thickBot="1" x14ac:dyDescent="0.45">
      <c r="C7" s="1057"/>
      <c r="D7" s="1616" t="s">
        <v>249</v>
      </c>
      <c r="E7" s="1617"/>
      <c r="F7" s="1618" t="s">
        <v>252</v>
      </c>
      <c r="G7" s="1619"/>
      <c r="H7" s="1619"/>
      <c r="I7" s="1620"/>
      <c r="J7" s="1061" t="s">
        <v>248</v>
      </c>
      <c r="K7" s="1062"/>
      <c r="L7" s="1062"/>
      <c r="M7" s="1070"/>
      <c r="Q7" s="769"/>
      <c r="U7" s="709"/>
    </row>
    <row r="8" spans="2:21" ht="16.5" customHeight="1" x14ac:dyDescent="0.4">
      <c r="C8" s="1063" t="s">
        <v>13</v>
      </c>
      <c r="D8" s="1586">
        <f>C6</f>
        <v>31</v>
      </c>
      <c r="E8" s="1621"/>
      <c r="F8" s="1622">
        <f>J8-D8</f>
        <v>69</v>
      </c>
      <c r="G8" s="1600"/>
      <c r="H8" s="1600"/>
      <c r="I8" s="1623"/>
      <c r="J8" s="1624">
        <v>100</v>
      </c>
      <c r="K8" s="1625"/>
      <c r="L8" s="1625"/>
      <c r="M8" s="1626"/>
      <c r="O8" s="945"/>
      <c r="P8" s="945"/>
      <c r="Q8" s="769"/>
      <c r="U8" s="709"/>
    </row>
    <row r="9" spans="2:21" ht="16.5" customHeight="1" thickBot="1" x14ac:dyDescent="0.45">
      <c r="C9" s="1064" t="s">
        <v>251</v>
      </c>
      <c r="D9" s="1627" t="s">
        <v>250</v>
      </c>
      <c r="E9" s="1628"/>
      <c r="F9" s="1629" t="s">
        <v>252</v>
      </c>
      <c r="G9" s="1630"/>
      <c r="H9" s="1630"/>
      <c r="I9" s="1631"/>
      <c r="J9" s="1632">
        <f>M6</f>
        <v>798</v>
      </c>
      <c r="K9" s="1633"/>
      <c r="L9" s="1633"/>
      <c r="M9" s="1634"/>
      <c r="O9" s="945"/>
      <c r="P9" s="945"/>
      <c r="Q9" s="769"/>
      <c r="U9" s="709"/>
    </row>
    <row r="10" spans="2:21" ht="16.5" customHeight="1" x14ac:dyDescent="0.4">
      <c r="D10" s="709"/>
      <c r="I10" s="709" t="s">
        <v>224</v>
      </c>
      <c r="Q10" s="769"/>
      <c r="U10" s="709"/>
    </row>
    <row r="11" spans="2:21" ht="16.5" customHeight="1" x14ac:dyDescent="0.4">
      <c r="C11" s="1603">
        <f>F8</f>
        <v>69</v>
      </c>
      <c r="D11" s="1603"/>
      <c r="E11" s="1604" t="s">
        <v>3</v>
      </c>
      <c r="F11" s="1603">
        <f>J8</f>
        <v>100</v>
      </c>
      <c r="G11" s="1603"/>
      <c r="H11" s="1603"/>
      <c r="L11" s="722"/>
      <c r="M11" s="722"/>
      <c r="N11" s="722"/>
      <c r="Q11" s="769"/>
      <c r="U11" s="709"/>
    </row>
    <row r="12" spans="2:21" ht="16.5" customHeight="1" x14ac:dyDescent="0.4">
      <c r="C12" s="1637" t="str">
        <f>F9</f>
        <v>Gasolina Pura</v>
      </c>
      <c r="D12" s="1637"/>
      <c r="E12" s="1604"/>
      <c r="F12" s="1601">
        <f>J9</f>
        <v>798</v>
      </c>
      <c r="G12" s="1601"/>
      <c r="H12" s="1601"/>
      <c r="L12" s="722"/>
      <c r="M12" s="708"/>
      <c r="N12" s="708"/>
      <c r="Q12" s="769"/>
      <c r="U12" s="709"/>
    </row>
    <row r="13" spans="2:21" ht="16.5" customHeight="1" x14ac:dyDescent="0.4">
      <c r="C13" s="850"/>
      <c r="D13" s="850"/>
      <c r="E13" s="850"/>
      <c r="F13" s="849"/>
      <c r="G13" s="853"/>
      <c r="H13" s="853"/>
      <c r="I13" s="853"/>
      <c r="J13" s="849"/>
      <c r="K13" s="756"/>
      <c r="L13" s="756"/>
      <c r="M13" s="756"/>
      <c r="N13" s="722"/>
      <c r="O13" s="708"/>
      <c r="P13" s="708"/>
      <c r="Q13" s="769"/>
      <c r="U13" s="709"/>
    </row>
    <row r="14" spans="2:21" ht="16.5" customHeight="1" x14ac:dyDescent="0.4">
      <c r="C14" s="1058"/>
      <c r="D14" s="1068" t="str">
        <f>F7</f>
        <v>Gasolina Pura</v>
      </c>
      <c r="E14" s="1067"/>
      <c r="F14" s="1064"/>
      <c r="G14" s="1065" t="str">
        <f>J7</f>
        <v>Gasolina comum</v>
      </c>
      <c r="H14" s="1066"/>
      <c r="I14" s="1067"/>
      <c r="P14" s="713"/>
      <c r="Q14" s="769"/>
      <c r="U14" s="709"/>
    </row>
    <row r="15" spans="2:21" ht="16.5" customHeight="1" x14ac:dyDescent="0.4">
      <c r="C15" s="1059" t="s">
        <v>13</v>
      </c>
      <c r="D15" s="1602">
        <f>F8</f>
        <v>69</v>
      </c>
      <c r="E15" s="1603"/>
      <c r="F15" s="1604" t="s">
        <v>3</v>
      </c>
      <c r="G15" s="1603">
        <f>F11</f>
        <v>100</v>
      </c>
      <c r="H15" s="1603"/>
      <c r="I15" s="1605"/>
      <c r="J15" s="1606"/>
      <c r="Q15" s="769"/>
      <c r="U15" s="709"/>
    </row>
    <row r="16" spans="2:21" ht="16.5" customHeight="1" x14ac:dyDescent="0.4">
      <c r="C16" s="1060" t="s">
        <v>20</v>
      </c>
      <c r="D16" s="1607" t="s">
        <v>377</v>
      </c>
      <c r="E16" s="1608"/>
      <c r="F16" s="1592"/>
      <c r="G16" s="1609">
        <f>F12</f>
        <v>798</v>
      </c>
      <c r="H16" s="1610"/>
      <c r="I16" s="1611"/>
      <c r="J16" s="1606"/>
      <c r="Q16" s="769"/>
      <c r="T16" s="854"/>
      <c r="U16" s="709"/>
    </row>
    <row r="17" spans="2:21" s="725" customFormat="1" ht="16.5" customHeight="1" x14ac:dyDescent="0.4">
      <c r="B17" s="768"/>
      <c r="Q17" s="769"/>
    </row>
    <row r="18" spans="2:21" s="725" customFormat="1" ht="16.5" customHeight="1" x14ac:dyDescent="0.4">
      <c r="B18" s="768"/>
      <c r="C18" s="1586">
        <f>D15</f>
        <v>69</v>
      </c>
      <c r="D18" s="1587"/>
      <c r="E18" s="757" t="s">
        <v>22</v>
      </c>
      <c r="F18" s="758">
        <f>G16</f>
        <v>798</v>
      </c>
      <c r="G18" s="757" t="s">
        <v>3</v>
      </c>
      <c r="H18" s="757"/>
      <c r="I18" s="1588" t="str">
        <f>D16</f>
        <v>Gp</v>
      </c>
      <c r="J18" s="1588"/>
      <c r="K18" s="1588"/>
      <c r="L18" s="759" t="s">
        <v>22</v>
      </c>
      <c r="M18" s="1635">
        <f>G15</f>
        <v>100</v>
      </c>
      <c r="N18" s="1635"/>
      <c r="O18" s="1636"/>
      <c r="Q18" s="769"/>
    </row>
    <row r="19" spans="2:21" s="725" customFormat="1" ht="16.5" customHeight="1" x14ac:dyDescent="0.4">
      <c r="B19" s="768"/>
      <c r="C19" s="1589" t="str">
        <f>D16</f>
        <v>Gp</v>
      </c>
      <c r="D19" s="1591" t="s">
        <v>3</v>
      </c>
      <c r="E19" s="1593">
        <f>D15</f>
        <v>69</v>
      </c>
      <c r="F19" s="1593"/>
      <c r="G19" s="851" t="s">
        <v>22</v>
      </c>
      <c r="H19" s="1594">
        <f>G16</f>
        <v>798</v>
      </c>
      <c r="I19" s="1595"/>
      <c r="J19" s="1596" t="s">
        <v>3</v>
      </c>
      <c r="K19" s="1598">
        <f>E19*H19/E20</f>
        <v>550.62</v>
      </c>
      <c r="L19" s="1598"/>
      <c r="M19" s="1598"/>
      <c r="N19" s="760"/>
      <c r="O19" s="761"/>
      <c r="Q19" s="769"/>
    </row>
    <row r="20" spans="2:21" s="725" customFormat="1" ht="16.5" customHeight="1" x14ac:dyDescent="0.4">
      <c r="B20" s="768"/>
      <c r="C20" s="1590"/>
      <c r="D20" s="1592"/>
      <c r="E20" s="1600">
        <f>G15</f>
        <v>100</v>
      </c>
      <c r="F20" s="1600"/>
      <c r="G20" s="1600"/>
      <c r="H20" s="1600"/>
      <c r="I20" s="1600"/>
      <c r="J20" s="1597"/>
      <c r="K20" s="1599"/>
      <c r="L20" s="1599"/>
      <c r="M20" s="1599"/>
      <c r="N20" s="726"/>
      <c r="O20" s="762"/>
      <c r="Q20" s="769"/>
    </row>
    <row r="21" spans="2:21" ht="16.5" customHeight="1" x14ac:dyDescent="0.4">
      <c r="C21" s="727"/>
      <c r="D21" s="727"/>
      <c r="E21" s="727"/>
      <c r="F21" s="727"/>
      <c r="G21" s="713"/>
      <c r="H21" s="713"/>
      <c r="I21" s="713"/>
      <c r="J21" s="713"/>
      <c r="K21" s="713"/>
      <c r="L21" s="713"/>
      <c r="M21" s="713"/>
      <c r="N21" s="713"/>
      <c r="Q21" s="769"/>
      <c r="U21" s="709"/>
    </row>
    <row r="22" spans="2:21" ht="16.5" customHeight="1" x14ac:dyDescent="0.4">
      <c r="C22" s="727" t="s">
        <v>406</v>
      </c>
      <c r="D22" s="727"/>
      <c r="E22" s="727"/>
      <c r="F22" s="727"/>
      <c r="G22" s="713"/>
      <c r="H22" s="727"/>
      <c r="I22" s="727"/>
      <c r="J22" s="727"/>
      <c r="K22" s="727"/>
      <c r="L22" s="713"/>
      <c r="M22" s="1099"/>
      <c r="N22" s="1099"/>
      <c r="O22" s="1099">
        <f>K19</f>
        <v>550.62</v>
      </c>
      <c r="P22" s="713" t="s">
        <v>372</v>
      </c>
      <c r="Q22" s="769"/>
      <c r="U22" s="709"/>
    </row>
    <row r="23" spans="2:21" ht="16.5" customHeight="1" thickBot="1" x14ac:dyDescent="0.45">
      <c r="C23" s="1049" t="s">
        <v>370</v>
      </c>
      <c r="D23" s="1050">
        <f>E19/100</f>
        <v>0.69</v>
      </c>
      <c r="E23" s="1053" t="s">
        <v>386</v>
      </c>
      <c r="F23" s="1056">
        <f>H19</f>
        <v>798</v>
      </c>
      <c r="G23" s="1051" t="s">
        <v>387</v>
      </c>
      <c r="H23" s="1052"/>
      <c r="I23" s="1052"/>
      <c r="J23" s="1613" t="s">
        <v>3</v>
      </c>
      <c r="K23" s="1614"/>
      <c r="L23" s="1615">
        <f>K19</f>
        <v>550.62</v>
      </c>
      <c r="M23" s="1615"/>
      <c r="N23" s="1054" t="str">
        <f>CONCATENATE( "litros de etanol.")</f>
        <v>litros de etanol.</v>
      </c>
      <c r="O23" s="1098"/>
      <c r="P23" s="1055"/>
      <c r="Q23" s="769"/>
      <c r="U23" s="709"/>
    </row>
    <row r="24" spans="2:21" ht="16.5" customHeight="1" x14ac:dyDescent="0.4"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9"/>
      <c r="U24" s="709"/>
    </row>
    <row r="25" spans="2:21" ht="16.5" customHeight="1" x14ac:dyDescent="0.4">
      <c r="B25" s="770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13"/>
      <c r="Q25" s="771"/>
      <c r="U25" s="709"/>
    </row>
    <row r="26" spans="2:21" ht="16.5" customHeight="1" x14ac:dyDescent="0.4">
      <c r="B26" s="770"/>
      <c r="C26" s="722"/>
      <c r="D26" s="722"/>
      <c r="E26" s="850"/>
      <c r="F26" s="728"/>
      <c r="G26" s="850"/>
      <c r="H26" s="850"/>
      <c r="I26" s="708"/>
      <c r="J26" s="708"/>
      <c r="K26" s="708"/>
      <c r="L26" s="727"/>
      <c r="M26" s="722"/>
      <c r="N26" s="722"/>
      <c r="O26" s="722"/>
      <c r="P26" s="713"/>
      <c r="Q26" s="771"/>
      <c r="U26" s="709"/>
    </row>
    <row r="27" spans="2:21" ht="16.5" customHeight="1" x14ac:dyDescent="0.4">
      <c r="B27" s="770"/>
      <c r="C27" s="729"/>
      <c r="D27" s="730"/>
      <c r="E27" s="751"/>
      <c r="F27" s="751"/>
      <c r="G27" s="731"/>
      <c r="H27" s="727"/>
      <c r="I27" s="752"/>
      <c r="J27" s="732"/>
      <c r="K27" s="733"/>
      <c r="L27" s="733"/>
      <c r="M27" s="733"/>
      <c r="N27" s="727"/>
      <c r="O27" s="727"/>
      <c r="P27" s="713"/>
      <c r="Q27" s="771"/>
      <c r="U27" s="709"/>
    </row>
    <row r="28" spans="2:21" ht="16.5" customHeight="1" x14ac:dyDescent="0.4">
      <c r="B28" s="770"/>
      <c r="C28" s="729"/>
      <c r="D28" s="730"/>
      <c r="E28" s="722"/>
      <c r="F28" s="722"/>
      <c r="G28" s="722"/>
      <c r="H28" s="722"/>
      <c r="I28" s="722"/>
      <c r="J28" s="732"/>
      <c r="K28" s="733"/>
      <c r="L28" s="733"/>
      <c r="M28" s="733"/>
      <c r="N28" s="727"/>
      <c r="O28" s="727"/>
      <c r="P28" s="713"/>
      <c r="U28" s="709"/>
    </row>
    <row r="29" spans="2:21" ht="16.5" customHeight="1" x14ac:dyDescent="0.4">
      <c r="B29" s="770"/>
      <c r="C29" s="727"/>
      <c r="D29" s="729"/>
      <c r="E29" s="730"/>
      <c r="F29" s="727"/>
      <c r="G29" s="727"/>
      <c r="H29" s="727"/>
      <c r="I29" s="727"/>
      <c r="J29" s="732"/>
      <c r="K29" s="733"/>
      <c r="L29" s="733"/>
      <c r="M29" s="733"/>
      <c r="N29" s="713"/>
      <c r="U29" s="709"/>
    </row>
    <row r="30" spans="2:21" ht="16.5" customHeight="1" x14ac:dyDescent="0.4">
      <c r="B30" s="770"/>
      <c r="N30" s="713"/>
      <c r="U30" s="709"/>
    </row>
    <row r="31" spans="2:21" ht="16.5" customHeight="1" x14ac:dyDescent="0.4">
      <c r="B31" s="770"/>
      <c r="N31" s="713"/>
      <c r="U31" s="709"/>
    </row>
    <row r="32" spans="2:21" ht="16.5" customHeight="1" x14ac:dyDescent="0.4">
      <c r="B32" s="770"/>
      <c r="N32" s="713"/>
      <c r="U32" s="709"/>
    </row>
    <row r="33" spans="2:21" ht="16.5" customHeight="1" x14ac:dyDescent="0.4">
      <c r="B33" s="770"/>
      <c r="C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U33" s="709"/>
    </row>
    <row r="34" spans="2:21" ht="16.5" customHeight="1" x14ac:dyDescent="0.4">
      <c r="B34" s="770"/>
      <c r="C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U34" s="709"/>
    </row>
    <row r="35" spans="2:21" ht="16.5" customHeight="1" x14ac:dyDescent="0.4">
      <c r="B35" s="770"/>
    </row>
    <row r="36" spans="2:21" ht="16.5" customHeight="1" x14ac:dyDescent="0.4">
      <c r="B36" s="770"/>
    </row>
    <row r="37" spans="2:21" ht="16.5" customHeight="1" x14ac:dyDescent="0.4">
      <c r="B37" s="770"/>
    </row>
    <row r="38" spans="2:21" ht="16.5" customHeight="1" x14ac:dyDescent="0.4">
      <c r="B38" s="770"/>
    </row>
    <row r="39" spans="2:21" ht="16.5" customHeight="1" x14ac:dyDescent="0.4">
      <c r="B39" s="770"/>
    </row>
    <row r="40" spans="2:21" ht="16.5" customHeight="1" x14ac:dyDescent="0.4">
      <c r="B40" s="770"/>
    </row>
    <row r="41" spans="2:21" ht="16.5" customHeight="1" x14ac:dyDescent="0.4">
      <c r="B41" s="770"/>
    </row>
    <row r="42" spans="2:21" ht="16.5" customHeight="1" x14ac:dyDescent="0.4">
      <c r="B42" s="770"/>
    </row>
    <row r="43" spans="2:21" ht="16.5" customHeight="1" x14ac:dyDescent="0.4">
      <c r="B43" s="770"/>
    </row>
    <row r="44" spans="2:21" ht="16.5" customHeight="1" x14ac:dyDescent="0.4">
      <c r="B44" s="770"/>
    </row>
    <row r="45" spans="2:21" ht="16.5" customHeight="1" x14ac:dyDescent="0.4">
      <c r="B45" s="770"/>
    </row>
    <row r="46" spans="2:21" ht="16.5" customHeight="1" x14ac:dyDescent="0.4">
      <c r="B46" s="770"/>
    </row>
    <row r="47" spans="2:21" ht="16.5" customHeight="1" x14ac:dyDescent="0.4">
      <c r="B47" s="770"/>
    </row>
    <row r="48" spans="2:21" ht="16.5" customHeight="1" x14ac:dyDescent="0.4">
      <c r="B48" s="770"/>
    </row>
    <row r="49" spans="2:2" ht="16.5" customHeight="1" x14ac:dyDescent="0.4">
      <c r="B49" s="770"/>
    </row>
  </sheetData>
  <mergeCells count="32">
    <mergeCell ref="M6:N6"/>
    <mergeCell ref="J23:K23"/>
    <mergeCell ref="L23:M23"/>
    <mergeCell ref="D7:E7"/>
    <mergeCell ref="F7:I7"/>
    <mergeCell ref="D8:E8"/>
    <mergeCell ref="F8:I8"/>
    <mergeCell ref="J8:M8"/>
    <mergeCell ref="D9:E9"/>
    <mergeCell ref="F9:I9"/>
    <mergeCell ref="J9:M9"/>
    <mergeCell ref="M18:O18"/>
    <mergeCell ref="C11:D11"/>
    <mergeCell ref="E11:E12"/>
    <mergeCell ref="F11:H11"/>
    <mergeCell ref="C12:D12"/>
    <mergeCell ref="F12:H12"/>
    <mergeCell ref="D15:E15"/>
    <mergeCell ref="F15:F16"/>
    <mergeCell ref="G15:I15"/>
    <mergeCell ref="J15:J16"/>
    <mergeCell ref="D16:E16"/>
    <mergeCell ref="G16:I16"/>
    <mergeCell ref="C18:D18"/>
    <mergeCell ref="I18:K18"/>
    <mergeCell ref="C19:C20"/>
    <mergeCell ref="D19:D20"/>
    <mergeCell ref="E19:F19"/>
    <mergeCell ref="H19:I19"/>
    <mergeCell ref="J19:J20"/>
    <mergeCell ref="K19:M20"/>
    <mergeCell ref="E20:I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U47"/>
  <sheetViews>
    <sheetView topLeftCell="A2" workbookViewId="0">
      <selection activeCell="Q22" sqref="Q22"/>
    </sheetView>
  </sheetViews>
  <sheetFormatPr defaultColWidth="28.09765625" defaultRowHeight="16.5" customHeight="1" x14ac:dyDescent="0.4"/>
  <cols>
    <col min="1" max="1" width="3.3984375" style="709" customWidth="1"/>
    <col min="2" max="2" width="3" style="768" customWidth="1"/>
    <col min="3" max="3" width="8.59765625" style="709" customWidth="1"/>
    <col min="4" max="4" width="7.59765625" style="713" customWidth="1"/>
    <col min="5" max="5" width="10.5" style="709" customWidth="1"/>
    <col min="6" max="6" width="7.19921875" style="709" customWidth="1"/>
    <col min="7" max="7" width="17.19921875" style="709" customWidth="1"/>
    <col min="8" max="8" width="9.09765625" style="709" customWidth="1"/>
    <col min="9" max="9" width="6.3984375" style="709" customWidth="1"/>
    <col min="10" max="10" width="7.69921875" style="709" customWidth="1"/>
    <col min="11" max="11" width="5.3984375" style="709" customWidth="1"/>
    <col min="12" max="12" width="3.59765625" style="709" customWidth="1"/>
    <col min="13" max="13" width="3.8984375" style="709" customWidth="1"/>
    <col min="14" max="14" width="6.3984375" style="709" customWidth="1"/>
    <col min="15" max="15" width="11.8984375" style="709" customWidth="1"/>
    <col min="16" max="16" width="15.19921875" style="709" customWidth="1"/>
    <col min="17" max="17" width="2.59765625" style="709" customWidth="1"/>
    <col min="18" max="18" width="10.8984375" style="709" customWidth="1"/>
    <col min="19" max="19" width="5.19921875" style="709" customWidth="1"/>
    <col min="20" max="20" width="10.59765625" style="709" customWidth="1"/>
    <col min="21" max="21" width="10.59765625" customWidth="1"/>
    <col min="22" max="31" width="10.59765625" style="709" customWidth="1"/>
    <col min="32" max="16384" width="28.09765625" style="709"/>
  </cols>
  <sheetData>
    <row r="1" spans="2:21" ht="16.5" customHeight="1" x14ac:dyDescent="0.4">
      <c r="B1" s="709"/>
    </row>
    <row r="2" spans="2:21" ht="16.5" customHeight="1" x14ac:dyDescent="0.4">
      <c r="B2" s="768" t="str">
        <f>Inicio!J6</f>
        <v>Estudante</v>
      </c>
      <c r="C2" s="768"/>
      <c r="D2" s="769"/>
      <c r="E2" s="768" t="s">
        <v>256</v>
      </c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U2" s="709"/>
    </row>
    <row r="3" spans="2:21" s="1075" customFormat="1" ht="17.399999999999999" x14ac:dyDescent="0.3">
      <c r="B3" s="1071"/>
      <c r="C3" s="921" t="s">
        <v>392</v>
      </c>
      <c r="D3" s="1072"/>
      <c r="E3" s="1073"/>
      <c r="F3" s="1072"/>
      <c r="G3" s="1072"/>
      <c r="J3" s="1654">
        <v>2742</v>
      </c>
      <c r="K3" s="1654"/>
      <c r="L3" s="1654"/>
      <c r="M3" s="921" t="s">
        <v>388</v>
      </c>
      <c r="O3" s="1072"/>
      <c r="P3" s="1072"/>
      <c r="Q3" s="1074"/>
    </row>
    <row r="4" spans="2:21" ht="21" x14ac:dyDescent="0.4">
      <c r="C4" s="710" t="s">
        <v>390</v>
      </c>
      <c r="D4" s="750"/>
      <c r="E4" s="750"/>
      <c r="F4" s="750"/>
      <c r="G4" s="750"/>
      <c r="H4" s="1105">
        <v>768</v>
      </c>
      <c r="I4" s="1105"/>
      <c r="J4" s="725"/>
      <c r="K4" s="921" t="s">
        <v>366</v>
      </c>
      <c r="L4" s="750"/>
      <c r="M4" s="750"/>
      <c r="N4" s="750"/>
      <c r="O4" s="750"/>
      <c r="P4" s="750"/>
      <c r="Q4" s="769"/>
      <c r="R4" s="750"/>
      <c r="U4" s="709"/>
    </row>
    <row r="5" spans="2:21" s="1075" customFormat="1" ht="18" thickBot="1" x14ac:dyDescent="0.35">
      <c r="B5" s="1071"/>
      <c r="C5" s="921" t="s">
        <v>391</v>
      </c>
      <c r="D5" s="1025"/>
      <c r="P5" s="1076"/>
      <c r="Q5" s="1074"/>
      <c r="R5" s="1077"/>
    </row>
    <row r="6" spans="2:21" ht="21.6" thickBot="1" x14ac:dyDescent="0.45">
      <c r="C6" s="1078"/>
      <c r="D6" s="1660" t="s">
        <v>249</v>
      </c>
      <c r="E6" s="1661"/>
      <c r="F6" s="1662" t="s">
        <v>252</v>
      </c>
      <c r="G6" s="1663"/>
      <c r="H6" s="1663"/>
      <c r="I6" s="1664"/>
      <c r="J6" s="1085" t="s">
        <v>248</v>
      </c>
      <c r="K6" s="1079"/>
      <c r="L6" s="1079"/>
      <c r="M6" s="1080"/>
      <c r="Q6" s="769"/>
      <c r="U6" s="709"/>
    </row>
    <row r="7" spans="2:21" ht="21" x14ac:dyDescent="0.4">
      <c r="C7" s="1081" t="s">
        <v>13</v>
      </c>
      <c r="D7" s="1622" t="s">
        <v>389</v>
      </c>
      <c r="E7" s="1667"/>
      <c r="F7" s="1622" t="s">
        <v>393</v>
      </c>
      <c r="G7" s="1600"/>
      <c r="H7" s="1600"/>
      <c r="I7" s="1623"/>
      <c r="J7" s="1624">
        <v>100</v>
      </c>
      <c r="K7" s="1625"/>
      <c r="L7" s="1625"/>
      <c r="M7" s="1626"/>
      <c r="O7" s="1659"/>
      <c r="P7" s="1659"/>
      <c r="Q7" s="769"/>
      <c r="U7" s="709"/>
    </row>
    <row r="8" spans="2:21" ht="21.6" thickBot="1" x14ac:dyDescent="0.45">
      <c r="C8" s="1082" t="s">
        <v>251</v>
      </c>
      <c r="D8" s="1665">
        <f>H4</f>
        <v>768</v>
      </c>
      <c r="E8" s="1666"/>
      <c r="F8" s="1629">
        <f>J3</f>
        <v>2742</v>
      </c>
      <c r="G8" s="1630"/>
      <c r="H8" s="1630"/>
      <c r="I8" s="1631"/>
      <c r="J8" s="1632">
        <f>D8+F8</f>
        <v>3510</v>
      </c>
      <c r="K8" s="1633"/>
      <c r="L8" s="1633"/>
      <c r="M8" s="1634"/>
      <c r="O8" s="1659"/>
      <c r="P8" s="1659"/>
      <c r="Q8" s="769"/>
      <c r="U8" s="709"/>
    </row>
    <row r="9" spans="2:21" ht="18.75" customHeight="1" x14ac:dyDescent="0.4">
      <c r="D9" s="709"/>
      <c r="I9" s="709" t="s">
        <v>224</v>
      </c>
      <c r="Q9" s="769"/>
      <c r="U9" s="709"/>
    </row>
    <row r="10" spans="2:21" ht="21" x14ac:dyDescent="0.4">
      <c r="C10" s="1603" t="str">
        <f>D7</f>
        <v>PE</v>
      </c>
      <c r="D10" s="1603"/>
      <c r="E10" s="1604" t="s">
        <v>3</v>
      </c>
      <c r="F10" s="1603">
        <f>J7</f>
        <v>100</v>
      </c>
      <c r="G10" s="1603"/>
      <c r="H10" s="1603"/>
      <c r="L10" s="722"/>
      <c r="M10" s="722"/>
      <c r="N10" s="722"/>
      <c r="Q10" s="769"/>
      <c r="U10" s="709"/>
    </row>
    <row r="11" spans="2:21" ht="21" x14ac:dyDescent="0.4">
      <c r="C11" s="1648">
        <f>D8</f>
        <v>768</v>
      </c>
      <c r="D11" s="1648"/>
      <c r="E11" s="1604"/>
      <c r="F11" s="1649">
        <f>J8</f>
        <v>3510</v>
      </c>
      <c r="G11" s="1649"/>
      <c r="H11" s="1649"/>
      <c r="L11" s="722"/>
      <c r="M11" s="708"/>
      <c r="N11" s="708"/>
      <c r="Q11" s="769"/>
      <c r="U11" s="709"/>
    </row>
    <row r="12" spans="2:21" ht="15" customHeight="1" thickBot="1" x14ac:dyDescent="0.45">
      <c r="C12" s="850"/>
      <c r="D12" s="850"/>
      <c r="E12" s="850"/>
      <c r="F12" s="849"/>
      <c r="G12" s="853"/>
      <c r="H12" s="853"/>
      <c r="I12" s="853"/>
      <c r="J12" s="849"/>
      <c r="K12" s="756"/>
      <c r="L12" s="756"/>
      <c r="M12" s="756"/>
      <c r="N12" s="722"/>
      <c r="O12" s="708"/>
      <c r="P12" s="708"/>
      <c r="Q12" s="769"/>
      <c r="U12" s="709"/>
    </row>
    <row r="13" spans="2:21" ht="15" customHeight="1" thickBot="1" x14ac:dyDescent="0.45">
      <c r="C13" s="1078"/>
      <c r="D13" s="1657" t="str">
        <f>D6</f>
        <v xml:space="preserve">Etanol </v>
      </c>
      <c r="E13" s="1658"/>
      <c r="F13" s="1086"/>
      <c r="G13" s="1655" t="str">
        <f>J6</f>
        <v>Gasolina comum</v>
      </c>
      <c r="H13" s="1656"/>
      <c r="I13" s="1656"/>
      <c r="P13" s="713"/>
      <c r="Q13" s="769"/>
      <c r="U13" s="709"/>
    </row>
    <row r="14" spans="2:21" ht="15" customHeight="1" x14ac:dyDescent="0.4">
      <c r="C14" s="1083" t="s">
        <v>13</v>
      </c>
      <c r="D14" s="1602" t="str">
        <f>C10</f>
        <v>PE</v>
      </c>
      <c r="E14" s="1603"/>
      <c r="F14" s="1604" t="s">
        <v>3</v>
      </c>
      <c r="G14" s="1603">
        <f>F10</f>
        <v>100</v>
      </c>
      <c r="H14" s="1603"/>
      <c r="I14" s="1605"/>
      <c r="J14" s="1606"/>
      <c r="Q14" s="769"/>
      <c r="U14" s="709"/>
    </row>
    <row r="15" spans="2:21" ht="15" customHeight="1" x14ac:dyDescent="0.4">
      <c r="C15" s="1084" t="s">
        <v>20</v>
      </c>
      <c r="D15" s="1650">
        <f>C11</f>
        <v>768</v>
      </c>
      <c r="E15" s="1651"/>
      <c r="F15" s="1592"/>
      <c r="G15" s="1646">
        <f>F11</f>
        <v>3510</v>
      </c>
      <c r="H15" s="1647"/>
      <c r="I15" s="1652"/>
      <c r="J15" s="1606"/>
      <c r="Q15" s="769"/>
      <c r="T15" s="854"/>
      <c r="U15" s="709"/>
    </row>
    <row r="16" spans="2:21" s="725" customFormat="1" ht="15" customHeight="1" x14ac:dyDescent="0.4">
      <c r="B16" s="768"/>
      <c r="Q16" s="769"/>
    </row>
    <row r="17" spans="2:21" s="725" customFormat="1" ht="21" x14ac:dyDescent="0.4">
      <c r="B17" s="768"/>
      <c r="C17" s="1586" t="str">
        <f>D14</f>
        <v>PE</v>
      </c>
      <c r="D17" s="1587"/>
      <c r="E17" s="757" t="s">
        <v>22</v>
      </c>
      <c r="F17" s="1100">
        <f>G15</f>
        <v>3510</v>
      </c>
      <c r="G17" s="757" t="s">
        <v>3</v>
      </c>
      <c r="H17" s="757"/>
      <c r="I17" s="1653">
        <f>D15</f>
        <v>768</v>
      </c>
      <c r="J17" s="1653"/>
      <c r="K17" s="1653"/>
      <c r="L17" s="759" t="s">
        <v>22</v>
      </c>
      <c r="M17" s="1635">
        <f>G14</f>
        <v>100</v>
      </c>
      <c r="N17" s="1635"/>
      <c r="O17" s="1636"/>
      <c r="Q17" s="769"/>
    </row>
    <row r="18" spans="2:21" s="725" customFormat="1" ht="21" x14ac:dyDescent="0.4">
      <c r="B18" s="768"/>
      <c r="C18" s="1641" t="str">
        <f>C17</f>
        <v>PE</v>
      </c>
      <c r="D18" s="1591" t="s">
        <v>3</v>
      </c>
      <c r="E18" s="1643">
        <f>I17</f>
        <v>768</v>
      </c>
      <c r="F18" s="1643"/>
      <c r="G18" s="851" t="s">
        <v>22</v>
      </c>
      <c r="H18" s="1600">
        <f>G14</f>
        <v>100</v>
      </c>
      <c r="I18" s="1600"/>
      <c r="J18" s="1596" t="s">
        <v>3</v>
      </c>
      <c r="K18" s="1644">
        <f>E18*H18/E19/100</f>
        <v>0.2188034188034188</v>
      </c>
      <c r="L18" s="1644"/>
      <c r="M18" s="1644"/>
      <c r="N18" s="760"/>
      <c r="O18" s="761"/>
      <c r="Q18" s="769"/>
    </row>
    <row r="19" spans="2:21" s="725" customFormat="1" ht="21" x14ac:dyDescent="0.4">
      <c r="B19" s="768"/>
      <c r="C19" s="1642"/>
      <c r="D19" s="1592"/>
      <c r="E19" s="1646">
        <f>G15</f>
        <v>3510</v>
      </c>
      <c r="F19" s="1647"/>
      <c r="G19" s="1647"/>
      <c r="H19" s="1647"/>
      <c r="I19" s="1647"/>
      <c r="J19" s="1597"/>
      <c r="K19" s="1645"/>
      <c r="L19" s="1645"/>
      <c r="M19" s="1645"/>
      <c r="N19" s="726"/>
      <c r="O19" s="762"/>
      <c r="Q19" s="769"/>
    </row>
    <row r="20" spans="2:21" ht="21" x14ac:dyDescent="0.4">
      <c r="C20" s="766" t="s">
        <v>394</v>
      </c>
      <c r="D20" s="760"/>
      <c r="E20" s="760"/>
      <c r="F20" s="760"/>
      <c r="G20" s="718"/>
      <c r="H20" s="735"/>
      <c r="I20" s="735"/>
      <c r="J20" s="735"/>
      <c r="K20" s="1069"/>
      <c r="L20" s="1638">
        <f>K18</f>
        <v>0.2188034188034188</v>
      </c>
      <c r="M20" s="1639"/>
      <c r="N20" s="1640"/>
      <c r="O20" s="719"/>
      <c r="P20" s="713"/>
      <c r="Q20" s="769"/>
      <c r="U20" s="709"/>
    </row>
    <row r="21" spans="2:21" ht="9" customHeight="1" x14ac:dyDescent="0.4">
      <c r="C21" s="754"/>
      <c r="D21" s="852"/>
      <c r="E21" s="767"/>
      <c r="F21" s="753"/>
      <c r="G21" s="755"/>
      <c r="H21" s="755"/>
      <c r="I21" s="755"/>
      <c r="J21" s="755"/>
      <c r="K21" s="755"/>
      <c r="L21" s="764"/>
      <c r="M21" s="718"/>
      <c r="N21" s="718"/>
      <c r="O21" s="765"/>
      <c r="P21" s="713"/>
      <c r="Q21" s="769"/>
      <c r="U21" s="709"/>
    </row>
    <row r="22" spans="2:21" ht="15" customHeight="1" x14ac:dyDescent="0.4"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9"/>
      <c r="U22" s="709"/>
    </row>
    <row r="23" spans="2:21" ht="21" x14ac:dyDescent="0.4">
      <c r="B23" s="770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13"/>
      <c r="Q23" s="771"/>
      <c r="U23" s="709"/>
    </row>
    <row r="24" spans="2:21" ht="21" x14ac:dyDescent="0.4">
      <c r="B24" s="770"/>
      <c r="C24" s="722"/>
      <c r="D24" s="722"/>
      <c r="E24" s="850"/>
      <c r="F24" s="728"/>
      <c r="G24" s="850"/>
      <c r="H24" s="850"/>
      <c r="I24" s="708"/>
      <c r="J24" s="708"/>
      <c r="K24" s="708"/>
      <c r="L24" s="727"/>
      <c r="M24" s="722"/>
      <c r="N24" s="722"/>
      <c r="O24" s="722"/>
      <c r="P24" s="713"/>
      <c r="Q24" s="771"/>
      <c r="U24" s="709"/>
    </row>
    <row r="25" spans="2:21" ht="21" x14ac:dyDescent="0.4">
      <c r="B25" s="770"/>
      <c r="C25" s="729"/>
      <c r="D25" s="730"/>
      <c r="E25" s="751"/>
      <c r="F25" s="751"/>
      <c r="G25" s="731"/>
      <c r="H25" s="727"/>
      <c r="I25" s="752"/>
      <c r="J25" s="732"/>
      <c r="K25" s="733"/>
      <c r="L25" s="733"/>
      <c r="M25" s="733"/>
      <c r="N25" s="727"/>
      <c r="O25" s="727"/>
      <c r="P25" s="713"/>
      <c r="Q25" s="771"/>
      <c r="U25" s="709"/>
    </row>
    <row r="26" spans="2:21" ht="21" x14ac:dyDescent="0.4">
      <c r="B26" s="770"/>
      <c r="C26" s="729"/>
      <c r="D26" s="730"/>
      <c r="E26" s="722"/>
      <c r="F26" s="722"/>
      <c r="G26" s="722"/>
      <c r="H26" s="722"/>
      <c r="I26" s="722"/>
      <c r="J26" s="732"/>
      <c r="K26" s="733"/>
      <c r="L26" s="733"/>
      <c r="M26" s="733"/>
      <c r="N26" s="727"/>
      <c r="O26" s="727"/>
      <c r="P26" s="713"/>
      <c r="U26" s="709"/>
    </row>
    <row r="27" spans="2:21" ht="21" x14ac:dyDescent="0.4">
      <c r="B27" s="770"/>
      <c r="C27" s="727"/>
      <c r="D27" s="729"/>
      <c r="E27" s="730"/>
      <c r="F27" s="727"/>
      <c r="G27" s="727"/>
      <c r="H27" s="727"/>
      <c r="I27" s="727"/>
      <c r="J27" s="732"/>
      <c r="K27" s="733"/>
      <c r="L27" s="733"/>
      <c r="M27" s="733"/>
      <c r="N27" s="713"/>
      <c r="U27" s="709"/>
    </row>
    <row r="28" spans="2:21" ht="21" x14ac:dyDescent="0.4">
      <c r="B28" s="770"/>
      <c r="N28" s="713"/>
      <c r="U28" s="709"/>
    </row>
    <row r="29" spans="2:21" ht="21" x14ac:dyDescent="0.4">
      <c r="B29" s="770"/>
      <c r="N29" s="713"/>
      <c r="U29" s="709"/>
    </row>
    <row r="30" spans="2:21" ht="21" x14ac:dyDescent="0.4">
      <c r="B30" s="770"/>
      <c r="N30" s="713"/>
      <c r="U30" s="709"/>
    </row>
    <row r="31" spans="2:21" ht="21" x14ac:dyDescent="0.4">
      <c r="B31" s="770"/>
      <c r="C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U31" s="709"/>
    </row>
    <row r="32" spans="2:21" ht="21" x14ac:dyDescent="0.4">
      <c r="B32" s="770"/>
      <c r="C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U32" s="709"/>
    </row>
    <row r="33" spans="2:2" ht="21" x14ac:dyDescent="0.4">
      <c r="B33" s="770"/>
    </row>
    <row r="34" spans="2:2" ht="21" x14ac:dyDescent="0.4">
      <c r="B34" s="770"/>
    </row>
    <row r="35" spans="2:2" ht="21" x14ac:dyDescent="0.4">
      <c r="B35" s="770"/>
    </row>
    <row r="36" spans="2:2" ht="21" x14ac:dyDescent="0.4">
      <c r="B36" s="770"/>
    </row>
    <row r="37" spans="2:2" ht="21" x14ac:dyDescent="0.4">
      <c r="B37" s="770"/>
    </row>
    <row r="38" spans="2:2" ht="21" x14ac:dyDescent="0.4">
      <c r="B38" s="770"/>
    </row>
    <row r="39" spans="2:2" ht="21" x14ac:dyDescent="0.4">
      <c r="B39" s="770"/>
    </row>
    <row r="40" spans="2:2" ht="21" x14ac:dyDescent="0.4">
      <c r="B40" s="770"/>
    </row>
    <row r="41" spans="2:2" ht="21" x14ac:dyDescent="0.4">
      <c r="B41" s="770"/>
    </row>
    <row r="42" spans="2:2" ht="21" x14ac:dyDescent="0.4">
      <c r="B42" s="770"/>
    </row>
    <row r="43" spans="2:2" ht="21" x14ac:dyDescent="0.4">
      <c r="B43" s="770"/>
    </row>
    <row r="44" spans="2:2" ht="21" x14ac:dyDescent="0.4">
      <c r="B44" s="770"/>
    </row>
    <row r="45" spans="2:2" ht="21" x14ac:dyDescent="0.4">
      <c r="B45" s="770"/>
    </row>
    <row r="46" spans="2:2" ht="21" x14ac:dyDescent="0.4">
      <c r="B46" s="770"/>
    </row>
    <row r="47" spans="2:2" ht="21" x14ac:dyDescent="0.4">
      <c r="B47" s="770"/>
    </row>
  </sheetData>
  <mergeCells count="34">
    <mergeCell ref="J3:L3"/>
    <mergeCell ref="G13:I13"/>
    <mergeCell ref="D13:E13"/>
    <mergeCell ref="O7:P8"/>
    <mergeCell ref="F8:I8"/>
    <mergeCell ref="J8:M8"/>
    <mergeCell ref="D6:E6"/>
    <mergeCell ref="F6:I6"/>
    <mergeCell ref="D8:E8"/>
    <mergeCell ref="F7:I7"/>
    <mergeCell ref="J7:M7"/>
    <mergeCell ref="D7:E7"/>
    <mergeCell ref="M17:O17"/>
    <mergeCell ref="C10:D10"/>
    <mergeCell ref="E10:E11"/>
    <mergeCell ref="F10:H10"/>
    <mergeCell ref="C11:D11"/>
    <mergeCell ref="F11:H11"/>
    <mergeCell ref="D14:E14"/>
    <mergeCell ref="F14:F15"/>
    <mergeCell ref="G14:I14"/>
    <mergeCell ref="J14:J15"/>
    <mergeCell ref="D15:E15"/>
    <mergeCell ref="G15:I15"/>
    <mergeCell ref="C17:D17"/>
    <mergeCell ref="I17:K17"/>
    <mergeCell ref="L20:N20"/>
    <mergeCell ref="C18:C19"/>
    <mergeCell ref="D18:D19"/>
    <mergeCell ref="E18:F18"/>
    <mergeCell ref="H18:I18"/>
    <mergeCell ref="J18:J19"/>
    <mergeCell ref="K18:M19"/>
    <mergeCell ref="E19:I19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U49"/>
  <sheetViews>
    <sheetView workbookViewId="0">
      <selection activeCell="U4" sqref="U4"/>
    </sheetView>
  </sheetViews>
  <sheetFormatPr defaultColWidth="28.09765625" defaultRowHeight="15.75" customHeight="1" x14ac:dyDescent="0.4"/>
  <cols>
    <col min="1" max="1" width="4" style="709" customWidth="1"/>
    <col min="2" max="2" width="3" style="768" customWidth="1"/>
    <col min="3" max="3" width="8.59765625" style="709" customWidth="1"/>
    <col min="4" max="4" width="7.59765625" style="713" customWidth="1"/>
    <col min="5" max="5" width="8.09765625" style="709" customWidth="1"/>
    <col min="6" max="6" width="8" style="709" customWidth="1"/>
    <col min="7" max="7" width="9.3984375" style="709" customWidth="1"/>
    <col min="8" max="8" width="10.8984375" style="709" customWidth="1"/>
    <col min="9" max="9" width="6.3984375" style="709" customWidth="1"/>
    <col min="10" max="10" width="6.09765625" style="709" customWidth="1"/>
    <col min="11" max="11" width="5.3984375" style="709" customWidth="1"/>
    <col min="12" max="12" width="7" style="709" customWidth="1"/>
    <col min="13" max="13" width="9.59765625" style="709" customWidth="1"/>
    <col min="14" max="14" width="11.3984375" style="709" customWidth="1"/>
    <col min="15" max="15" width="3.3984375" style="709" customWidth="1"/>
    <col min="16" max="16" width="14.09765625" style="709" customWidth="1"/>
    <col min="17" max="17" width="2.3984375" style="709" customWidth="1"/>
    <col min="18" max="18" width="10.8984375" style="709" customWidth="1"/>
    <col min="19" max="19" width="5.19921875" style="709" customWidth="1"/>
    <col min="20" max="20" width="10.59765625" style="709" customWidth="1"/>
    <col min="21" max="21" width="10.59765625" customWidth="1"/>
    <col min="22" max="31" width="10.59765625" style="709" customWidth="1"/>
    <col min="32" max="16384" width="28.09765625" style="709"/>
  </cols>
  <sheetData>
    <row r="1" spans="2:21" ht="15.75" customHeight="1" x14ac:dyDescent="0.4">
      <c r="B1" s="709"/>
    </row>
    <row r="2" spans="2:21" ht="15.75" customHeight="1" x14ac:dyDescent="0.4">
      <c r="B2" s="768" t="str">
        <f>Inicio!J6</f>
        <v>Estudante</v>
      </c>
      <c r="C2" s="768"/>
      <c r="D2" s="769"/>
      <c r="E2" s="768" t="s">
        <v>256</v>
      </c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U2" s="709"/>
    </row>
    <row r="3" spans="2:21" ht="15.75" customHeight="1" x14ac:dyDescent="0.4">
      <c r="C3" s="1025" t="s">
        <v>427</v>
      </c>
      <c r="D3" s="1088"/>
      <c r="E3" s="1089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769"/>
      <c r="U3" s="709"/>
    </row>
    <row r="4" spans="2:21" s="1023" customFormat="1" ht="15.75" customHeight="1" x14ac:dyDescent="0.35">
      <c r="B4" s="923"/>
      <c r="C4" s="1075" t="s">
        <v>396</v>
      </c>
      <c r="P4" s="1014"/>
      <c r="Q4" s="1022"/>
      <c r="R4" s="1026"/>
    </row>
    <row r="5" spans="2:21" ht="15.75" customHeight="1" x14ac:dyDescent="0.4">
      <c r="C5" s="1025" t="s">
        <v>376</v>
      </c>
      <c r="D5" s="709"/>
      <c r="E5" s="1014"/>
      <c r="F5" s="1014"/>
      <c r="G5" s="1014"/>
      <c r="H5" s="1014"/>
      <c r="I5" s="1014"/>
      <c r="J5" s="1014"/>
      <c r="K5" s="1014"/>
      <c r="L5" s="1014"/>
      <c r="M5" s="1679">
        <v>27</v>
      </c>
      <c r="N5" s="1679"/>
      <c r="O5" s="1025" t="s">
        <v>13</v>
      </c>
      <c r="P5" s="1025" t="s">
        <v>395</v>
      </c>
      <c r="Q5" s="1022"/>
    </row>
    <row r="6" spans="2:21" s="1023" customFormat="1" ht="15.75" customHeight="1" thickBot="1" x14ac:dyDescent="0.4">
      <c r="B6" s="923"/>
      <c r="C6" s="1025" t="s">
        <v>407</v>
      </c>
      <c r="E6" s="1025"/>
      <c r="F6" s="1025"/>
      <c r="G6" s="1025"/>
      <c r="H6" s="1025"/>
      <c r="I6" s="1673">
        <v>1907</v>
      </c>
      <c r="J6" s="1673"/>
      <c r="K6" s="1027" t="s">
        <v>381</v>
      </c>
      <c r="L6" s="1025"/>
      <c r="P6" s="1087" t="s">
        <v>382</v>
      </c>
      <c r="Q6" s="1022"/>
      <c r="R6" s="1026"/>
    </row>
    <row r="7" spans="2:21" ht="15.75" customHeight="1" thickBot="1" x14ac:dyDescent="0.45">
      <c r="C7" s="1029"/>
      <c r="D7" s="1674" t="s">
        <v>249</v>
      </c>
      <c r="E7" s="1675"/>
      <c r="F7" s="1676" t="s">
        <v>252</v>
      </c>
      <c r="G7" s="1677"/>
      <c r="H7" s="1677"/>
      <c r="I7" s="1678"/>
      <c r="J7" s="1038" t="s">
        <v>248</v>
      </c>
      <c r="K7" s="1039"/>
      <c r="L7" s="1039"/>
      <c r="M7" s="1040"/>
      <c r="Q7" s="769"/>
      <c r="U7" s="709"/>
    </row>
    <row r="8" spans="2:21" ht="15.75" customHeight="1" x14ac:dyDescent="0.4">
      <c r="C8" s="1041" t="s">
        <v>13</v>
      </c>
      <c r="D8" s="1586">
        <f>M5</f>
        <v>27</v>
      </c>
      <c r="E8" s="1621"/>
      <c r="F8" s="1622">
        <f>J8-D8</f>
        <v>73</v>
      </c>
      <c r="G8" s="1600"/>
      <c r="H8" s="1600"/>
      <c r="I8" s="1623"/>
      <c r="J8" s="1624">
        <v>100</v>
      </c>
      <c r="K8" s="1625"/>
      <c r="L8" s="1625"/>
      <c r="M8" s="1626"/>
      <c r="O8" s="1659"/>
      <c r="P8" s="1659"/>
      <c r="Q8" s="769"/>
      <c r="U8" s="709"/>
    </row>
    <row r="9" spans="2:21" ht="15.75" customHeight="1" thickBot="1" x14ac:dyDescent="0.45">
      <c r="C9" s="1042" t="s">
        <v>251</v>
      </c>
      <c r="D9" s="1627" t="s">
        <v>250</v>
      </c>
      <c r="E9" s="1628"/>
      <c r="F9" s="1629" t="s">
        <v>377</v>
      </c>
      <c r="G9" s="1630"/>
      <c r="H9" s="1630"/>
      <c r="I9" s="1631"/>
      <c r="J9" s="1669">
        <f>I6</f>
        <v>1907</v>
      </c>
      <c r="K9" s="1670"/>
      <c r="L9" s="1670"/>
      <c r="M9" s="1671"/>
      <c r="O9" s="1659"/>
      <c r="P9" s="1659"/>
      <c r="Q9" s="769"/>
      <c r="U9" s="709"/>
    </row>
    <row r="10" spans="2:21" ht="15.75" customHeight="1" x14ac:dyDescent="0.4">
      <c r="D10" s="709"/>
      <c r="H10" s="1672" t="s">
        <v>224</v>
      </c>
      <c r="I10" s="1672"/>
      <c r="J10" s="1672"/>
      <c r="Q10" s="769"/>
      <c r="U10" s="709"/>
    </row>
    <row r="11" spans="2:21" ht="15.75" customHeight="1" x14ac:dyDescent="0.4">
      <c r="C11" s="1603">
        <f>F8</f>
        <v>73</v>
      </c>
      <c r="D11" s="1603"/>
      <c r="E11" s="1604" t="s">
        <v>3</v>
      </c>
      <c r="F11" s="1603">
        <f>J8</f>
        <v>100</v>
      </c>
      <c r="G11" s="1603"/>
      <c r="H11" s="1603"/>
      <c r="L11" s="722"/>
      <c r="M11" s="722"/>
      <c r="N11" s="722"/>
      <c r="Q11" s="769"/>
      <c r="U11" s="709"/>
    </row>
    <row r="12" spans="2:21" ht="15.75" customHeight="1" x14ac:dyDescent="0.4">
      <c r="C12" s="1687" t="str">
        <f>F9</f>
        <v>Gp</v>
      </c>
      <c r="D12" s="1637"/>
      <c r="E12" s="1604"/>
      <c r="F12" s="1688">
        <f>J9</f>
        <v>1907</v>
      </c>
      <c r="G12" s="1688"/>
      <c r="H12" s="1688"/>
      <c r="L12" s="722"/>
      <c r="M12" s="708"/>
      <c r="N12" s="708"/>
      <c r="Q12" s="769"/>
      <c r="U12" s="709"/>
    </row>
    <row r="13" spans="2:21" ht="9" customHeight="1" thickBot="1" x14ac:dyDescent="0.45">
      <c r="C13" s="1013"/>
      <c r="D13" s="1013"/>
      <c r="E13" s="1013"/>
      <c r="F13" s="1010"/>
      <c r="G13" s="1011"/>
      <c r="H13" s="1011"/>
      <c r="I13" s="1011"/>
      <c r="J13" s="1010"/>
      <c r="K13" s="756"/>
      <c r="L13" s="756"/>
      <c r="M13" s="756"/>
      <c r="N13" s="722"/>
      <c r="O13" s="708"/>
      <c r="P13" s="708"/>
      <c r="Q13" s="769"/>
      <c r="U13" s="709"/>
    </row>
    <row r="14" spans="2:21" ht="15.75" customHeight="1" thickBot="1" x14ac:dyDescent="0.45">
      <c r="C14" s="1035"/>
      <c r="D14" s="1034" t="str">
        <f>D7</f>
        <v xml:space="preserve">Etanol </v>
      </c>
      <c r="E14" s="1030"/>
      <c r="F14" s="1030"/>
      <c r="G14" s="1031" t="str">
        <f>J7</f>
        <v>Gasolina comum</v>
      </c>
      <c r="H14" s="1032"/>
      <c r="I14" s="1033"/>
      <c r="P14" s="713"/>
      <c r="Q14" s="769"/>
      <c r="U14" s="709"/>
    </row>
    <row r="15" spans="2:21" ht="15.75" customHeight="1" x14ac:dyDescent="0.4">
      <c r="C15" s="1036" t="s">
        <v>13</v>
      </c>
      <c r="D15" s="1603">
        <f>C11</f>
        <v>73</v>
      </c>
      <c r="E15" s="1603"/>
      <c r="F15" s="1604" t="s">
        <v>3</v>
      </c>
      <c r="G15" s="1603">
        <f>J8</f>
        <v>100</v>
      </c>
      <c r="H15" s="1603"/>
      <c r="I15" s="1605"/>
      <c r="J15" s="1606"/>
      <c r="Q15" s="769"/>
      <c r="U15" s="709"/>
    </row>
    <row r="16" spans="2:21" ht="15.75" customHeight="1" thickBot="1" x14ac:dyDescent="0.45">
      <c r="C16" s="1037" t="s">
        <v>20</v>
      </c>
      <c r="D16" s="1608" t="str">
        <f>C12</f>
        <v>Gp</v>
      </c>
      <c r="E16" s="1608"/>
      <c r="F16" s="1592"/>
      <c r="G16" s="1668">
        <f>J9</f>
        <v>1907</v>
      </c>
      <c r="H16" s="1647"/>
      <c r="I16" s="1652"/>
      <c r="J16" s="1606"/>
      <c r="Q16" s="769"/>
      <c r="T16" s="1016"/>
      <c r="U16" s="709"/>
    </row>
    <row r="17" spans="2:21" s="725" customFormat="1" ht="15.75" customHeight="1" x14ac:dyDescent="0.4">
      <c r="B17" s="768"/>
      <c r="Q17" s="769"/>
    </row>
    <row r="18" spans="2:21" s="725" customFormat="1" ht="15.75" customHeight="1" x14ac:dyDescent="0.4">
      <c r="B18" s="768"/>
      <c r="C18" s="1586">
        <f>D15</f>
        <v>73</v>
      </c>
      <c r="D18" s="1587"/>
      <c r="E18" s="757" t="s">
        <v>22</v>
      </c>
      <c r="F18" s="1100">
        <f>G16</f>
        <v>1907</v>
      </c>
      <c r="G18" s="757" t="s">
        <v>3</v>
      </c>
      <c r="H18" s="757"/>
      <c r="I18" s="1680" t="str">
        <f>D16</f>
        <v>Gp</v>
      </c>
      <c r="J18" s="1680"/>
      <c r="K18" s="1680"/>
      <c r="L18" s="759" t="s">
        <v>22</v>
      </c>
      <c r="M18" s="1635">
        <f>G15</f>
        <v>100</v>
      </c>
      <c r="N18" s="1635"/>
      <c r="O18" s="1636"/>
      <c r="Q18" s="769"/>
    </row>
    <row r="19" spans="2:21" s="725" customFormat="1" ht="31.5" customHeight="1" x14ac:dyDescent="0.4">
      <c r="B19" s="768"/>
      <c r="C19" s="1589" t="str">
        <f>D16</f>
        <v>Gp</v>
      </c>
      <c r="D19" s="1591" t="s">
        <v>3</v>
      </c>
      <c r="E19" s="1681">
        <f>D15</f>
        <v>73</v>
      </c>
      <c r="F19" s="1681"/>
      <c r="G19" s="1015" t="s">
        <v>22</v>
      </c>
      <c r="H19" s="1682">
        <f>G16</f>
        <v>1907</v>
      </c>
      <c r="I19" s="1600"/>
      <c r="J19" s="1596" t="s">
        <v>3</v>
      </c>
      <c r="K19" s="1683">
        <f>E19*H19/E20</f>
        <v>1392.11</v>
      </c>
      <c r="L19" s="1683"/>
      <c r="M19" s="1683" t="s">
        <v>372</v>
      </c>
      <c r="N19" s="1683"/>
      <c r="O19" s="1685"/>
      <c r="Q19" s="769"/>
    </row>
    <row r="20" spans="2:21" s="725" customFormat="1" ht="26.25" customHeight="1" x14ac:dyDescent="0.4">
      <c r="B20" s="768"/>
      <c r="C20" s="1590"/>
      <c r="D20" s="1592"/>
      <c r="E20" s="1600">
        <f>G15</f>
        <v>100</v>
      </c>
      <c r="F20" s="1600"/>
      <c r="G20" s="1600"/>
      <c r="H20" s="1600"/>
      <c r="I20" s="1600"/>
      <c r="J20" s="1597"/>
      <c r="K20" s="1684"/>
      <c r="L20" s="1684"/>
      <c r="M20" s="1684"/>
      <c r="N20" s="1684"/>
      <c r="O20" s="1686"/>
      <c r="Q20" s="769"/>
    </row>
    <row r="21" spans="2:21" ht="15.75" customHeight="1" thickBot="1" x14ac:dyDescent="0.45">
      <c r="C21" s="727"/>
      <c r="D21" s="727"/>
      <c r="E21" s="727"/>
      <c r="F21" s="727"/>
      <c r="G21" s="713"/>
      <c r="H21" s="713"/>
      <c r="I21" s="713"/>
      <c r="J21" s="713"/>
      <c r="K21" s="713"/>
      <c r="L21" s="713"/>
      <c r="M21" s="713"/>
      <c r="N21" s="713"/>
      <c r="Q21" s="769"/>
      <c r="U21" s="709"/>
    </row>
    <row r="22" spans="2:21" ht="15.75" customHeight="1" thickBot="1" x14ac:dyDescent="0.45">
      <c r="C22" s="1043" t="s">
        <v>379</v>
      </c>
      <c r="D22" s="1044"/>
      <c r="E22" s="1044"/>
      <c r="F22" s="1044"/>
      <c r="G22" s="1045"/>
      <c r="H22" s="1046" t="str">
        <f>CONCATENATE(I6,K6,"é")</f>
        <v>1907litros de gasolina comum é</v>
      </c>
      <c r="I22" s="1044"/>
      <c r="J22" s="1044"/>
      <c r="K22" s="1044"/>
      <c r="L22" s="1047"/>
      <c r="M22" s="1047"/>
      <c r="N22" s="1047">
        <f>K19</f>
        <v>1392.11</v>
      </c>
      <c r="O22" s="1045" t="str">
        <f>CONCATENATE( "litros de etanol.")</f>
        <v>litros de etanol.</v>
      </c>
      <c r="P22" s="1048"/>
      <c r="Q22" s="769"/>
      <c r="U22" s="709"/>
    </row>
    <row r="23" spans="2:21" s="828" customFormat="1" ht="15.75" customHeight="1" thickBot="1" x14ac:dyDescent="0.45">
      <c r="B23" s="825"/>
      <c r="C23" s="1049" t="s">
        <v>370</v>
      </c>
      <c r="D23" s="1050">
        <f>F8/100</f>
        <v>0.73</v>
      </c>
      <c r="E23" s="1053" t="s">
        <v>383</v>
      </c>
      <c r="F23" s="1056">
        <f>H19</f>
        <v>1907</v>
      </c>
      <c r="G23" s="1051" t="str">
        <f>K6</f>
        <v xml:space="preserve">litros de gasolina comum </v>
      </c>
      <c r="H23" s="1052"/>
      <c r="I23" s="1052"/>
      <c r="J23" s="1613" t="s">
        <v>3</v>
      </c>
      <c r="K23" s="1614"/>
      <c r="L23" s="1615">
        <f>K19</f>
        <v>1392.11</v>
      </c>
      <c r="M23" s="1615"/>
      <c r="N23" s="1054" t="str">
        <f>CONCATENATE( "litros de etanol.")</f>
        <v>litros de etanol.</v>
      </c>
      <c r="O23" s="1052"/>
      <c r="P23" s="1055"/>
      <c r="Q23" s="826"/>
    </row>
    <row r="24" spans="2:21" ht="15.75" customHeight="1" x14ac:dyDescent="0.4"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9"/>
      <c r="U24" s="709"/>
    </row>
    <row r="25" spans="2:21" ht="15.75" customHeight="1" x14ac:dyDescent="0.4">
      <c r="B25" s="770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13"/>
      <c r="Q25" s="771"/>
      <c r="U25" s="709"/>
    </row>
    <row r="26" spans="2:21" ht="15.75" customHeight="1" x14ac:dyDescent="0.4">
      <c r="B26" s="770"/>
      <c r="C26" s="722"/>
      <c r="D26" s="722"/>
      <c r="E26" s="1013"/>
      <c r="F26" s="728"/>
      <c r="G26" s="1013"/>
      <c r="H26" s="1013"/>
      <c r="I26" s="708"/>
      <c r="J26" s="708"/>
      <c r="K26" s="708"/>
      <c r="L26" s="727"/>
      <c r="M26" s="722"/>
      <c r="N26" s="722"/>
      <c r="O26" s="722"/>
      <c r="P26" s="713"/>
      <c r="Q26" s="771"/>
      <c r="U26" s="709"/>
    </row>
    <row r="27" spans="2:21" ht="15.75" customHeight="1" x14ac:dyDescent="0.4">
      <c r="B27" s="770"/>
      <c r="C27" s="729"/>
      <c r="D27" s="730"/>
      <c r="E27" s="751"/>
      <c r="F27" s="751"/>
      <c r="G27" s="731"/>
      <c r="H27" s="727"/>
      <c r="I27" s="752"/>
      <c r="J27" s="732"/>
      <c r="K27" s="733"/>
      <c r="L27" s="733"/>
      <c r="M27" s="733"/>
      <c r="N27" s="727"/>
      <c r="O27" s="727"/>
      <c r="P27" s="713"/>
      <c r="Q27" s="771"/>
      <c r="U27" s="709"/>
    </row>
    <row r="28" spans="2:21" ht="15.75" customHeight="1" x14ac:dyDescent="0.4">
      <c r="B28" s="770"/>
      <c r="C28" s="729"/>
      <c r="D28" s="730"/>
      <c r="E28" s="722"/>
      <c r="F28" s="722"/>
      <c r="G28" s="722"/>
      <c r="H28" s="722"/>
      <c r="I28" s="722"/>
      <c r="J28" s="732"/>
      <c r="K28" s="733"/>
      <c r="L28" s="733"/>
      <c r="M28" s="733"/>
      <c r="N28" s="727"/>
      <c r="O28" s="727"/>
      <c r="P28" s="713"/>
      <c r="U28" s="709"/>
    </row>
    <row r="29" spans="2:21" ht="15.75" customHeight="1" x14ac:dyDescent="0.4">
      <c r="B29" s="770"/>
      <c r="C29" s="727"/>
      <c r="D29" s="729"/>
      <c r="E29" s="730"/>
      <c r="F29" s="727"/>
      <c r="G29" s="727"/>
      <c r="H29" s="727"/>
      <c r="I29" s="727"/>
      <c r="J29" s="732"/>
      <c r="K29" s="733"/>
      <c r="L29" s="733"/>
      <c r="M29" s="733"/>
      <c r="N29" s="713"/>
      <c r="U29" s="709"/>
    </row>
    <row r="30" spans="2:21" ht="15.75" customHeight="1" x14ac:dyDescent="0.4">
      <c r="B30" s="770"/>
      <c r="N30" s="713"/>
      <c r="U30" s="709"/>
    </row>
    <row r="31" spans="2:21" ht="15.75" customHeight="1" x14ac:dyDescent="0.4">
      <c r="B31" s="770"/>
      <c r="N31" s="713"/>
      <c r="U31" s="709"/>
    </row>
    <row r="32" spans="2:21" ht="15.75" customHeight="1" x14ac:dyDescent="0.4">
      <c r="B32" s="770"/>
      <c r="N32" s="713"/>
      <c r="U32" s="709"/>
    </row>
    <row r="33" spans="2:21" ht="15.75" customHeight="1" x14ac:dyDescent="0.4">
      <c r="B33" s="770"/>
      <c r="C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U33" s="709"/>
    </row>
    <row r="34" spans="2:21" ht="15.75" customHeight="1" x14ac:dyDescent="0.4">
      <c r="B34" s="770"/>
      <c r="C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U34" s="709"/>
    </row>
    <row r="35" spans="2:21" ht="15.75" customHeight="1" x14ac:dyDescent="0.4">
      <c r="B35" s="770"/>
    </row>
    <row r="36" spans="2:21" ht="15.75" customHeight="1" x14ac:dyDescent="0.4">
      <c r="B36" s="770"/>
    </row>
    <row r="37" spans="2:21" ht="15.75" customHeight="1" x14ac:dyDescent="0.4">
      <c r="B37" s="770"/>
    </row>
    <row r="38" spans="2:21" ht="15.75" customHeight="1" x14ac:dyDescent="0.4">
      <c r="B38" s="770"/>
    </row>
    <row r="39" spans="2:21" ht="15.75" customHeight="1" x14ac:dyDescent="0.4">
      <c r="B39" s="770"/>
    </row>
    <row r="40" spans="2:21" ht="15.75" customHeight="1" x14ac:dyDescent="0.4">
      <c r="B40" s="770"/>
    </row>
    <row r="41" spans="2:21" ht="15.75" customHeight="1" x14ac:dyDescent="0.4">
      <c r="B41" s="770"/>
    </row>
    <row r="42" spans="2:21" ht="15.75" customHeight="1" x14ac:dyDescent="0.4">
      <c r="B42" s="770"/>
    </row>
    <row r="43" spans="2:21" ht="15.75" customHeight="1" x14ac:dyDescent="0.4">
      <c r="B43" s="770"/>
    </row>
    <row r="44" spans="2:21" ht="15.75" customHeight="1" x14ac:dyDescent="0.4">
      <c r="B44" s="770"/>
    </row>
    <row r="45" spans="2:21" ht="15.75" customHeight="1" x14ac:dyDescent="0.4">
      <c r="B45" s="770"/>
    </row>
    <row r="46" spans="2:21" ht="15.75" customHeight="1" x14ac:dyDescent="0.4">
      <c r="B46" s="770"/>
    </row>
    <row r="47" spans="2:21" ht="15.75" customHeight="1" x14ac:dyDescent="0.4">
      <c r="B47" s="770"/>
    </row>
    <row r="48" spans="2:21" ht="15.75" customHeight="1" x14ac:dyDescent="0.4">
      <c r="B48" s="770"/>
    </row>
    <row r="49" spans="2:2" ht="15.75" customHeight="1" x14ac:dyDescent="0.4">
      <c r="B49" s="770"/>
    </row>
  </sheetData>
  <mergeCells count="36">
    <mergeCell ref="C11:D11"/>
    <mergeCell ref="M5:N5"/>
    <mergeCell ref="I18:K18"/>
    <mergeCell ref="M18:O18"/>
    <mergeCell ref="C19:C20"/>
    <mergeCell ref="D19:D20"/>
    <mergeCell ref="E19:F19"/>
    <mergeCell ref="H19:I19"/>
    <mergeCell ref="K19:L20"/>
    <mergeCell ref="M19:O20"/>
    <mergeCell ref="E20:I20"/>
    <mergeCell ref="E11:E12"/>
    <mergeCell ref="F11:H11"/>
    <mergeCell ref="C12:D12"/>
    <mergeCell ref="F12:H12"/>
    <mergeCell ref="D15:E15"/>
    <mergeCell ref="I6:J6"/>
    <mergeCell ref="D7:E7"/>
    <mergeCell ref="F7:I7"/>
    <mergeCell ref="D8:E8"/>
    <mergeCell ref="F8:I8"/>
    <mergeCell ref="J8:M8"/>
    <mergeCell ref="O8:P9"/>
    <mergeCell ref="D9:E9"/>
    <mergeCell ref="F9:I9"/>
    <mergeCell ref="J9:M9"/>
    <mergeCell ref="H10:J10"/>
    <mergeCell ref="J19:J20"/>
    <mergeCell ref="J15:J16"/>
    <mergeCell ref="C18:D18"/>
    <mergeCell ref="J23:K23"/>
    <mergeCell ref="L23:M23"/>
    <mergeCell ref="G15:I15"/>
    <mergeCell ref="D16:E16"/>
    <mergeCell ref="G16:I16"/>
    <mergeCell ref="F15:F16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1:U49"/>
  <sheetViews>
    <sheetView workbookViewId="0">
      <selection activeCell="F26" sqref="F26"/>
    </sheetView>
  </sheetViews>
  <sheetFormatPr defaultColWidth="28.09765625" defaultRowHeight="17.25" customHeight="1" x14ac:dyDescent="0.35"/>
  <cols>
    <col min="1" max="1" width="3.19921875" style="1023" customWidth="1"/>
    <col min="2" max="2" width="3" style="923" customWidth="1"/>
    <col min="3" max="3" width="8.59765625" style="1023" customWidth="1"/>
    <col min="4" max="4" width="7.59765625" style="1348" customWidth="1"/>
    <col min="5" max="5" width="8.09765625" style="1023" customWidth="1"/>
    <col min="6" max="6" width="8" style="1023" customWidth="1"/>
    <col min="7" max="7" width="9.3984375" style="1023" customWidth="1"/>
    <col min="8" max="8" width="5" style="1023" customWidth="1"/>
    <col min="9" max="9" width="6.3984375" style="1023" customWidth="1"/>
    <col min="10" max="10" width="6.09765625" style="1023" customWidth="1"/>
    <col min="11" max="11" width="5.3984375" style="1023" customWidth="1"/>
    <col min="12" max="12" width="3.69921875" style="1023" customWidth="1"/>
    <col min="13" max="13" width="7.09765625" style="1023" customWidth="1"/>
    <col min="14" max="14" width="9.69921875" style="1023" customWidth="1"/>
    <col min="15" max="15" width="9.19921875" style="1023" customWidth="1"/>
    <col min="16" max="16" width="12.09765625" style="1023" customWidth="1"/>
    <col min="17" max="17" width="1.8984375" style="1023" bestFit="1" customWidth="1"/>
    <col min="18" max="18" width="10.8984375" style="1023" customWidth="1"/>
    <col min="19" max="19" width="5.19921875" style="1023" customWidth="1"/>
    <col min="20" max="20" width="10.59765625" style="1023" customWidth="1"/>
    <col min="21" max="21" width="10.59765625" style="1342" customWidth="1"/>
    <col min="22" max="31" width="10.59765625" style="1023" customWidth="1"/>
    <col min="32" max="16384" width="28.09765625" style="1023"/>
  </cols>
  <sheetData>
    <row r="1" spans="2:21" ht="17.25" customHeight="1" x14ac:dyDescent="0.35">
      <c r="B1" s="1023"/>
    </row>
    <row r="2" spans="2:21" ht="17.25" customHeight="1" x14ac:dyDescent="0.35">
      <c r="B2" s="923" t="str">
        <f>Inicio!J6</f>
        <v>Estudante</v>
      </c>
      <c r="C2" s="923"/>
      <c r="D2" s="1022"/>
      <c r="E2" s="923" t="s">
        <v>256</v>
      </c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U2" s="1023"/>
    </row>
    <row r="3" spans="2:21" ht="17.25" customHeight="1" x14ac:dyDescent="0.35">
      <c r="C3" s="1025" t="s">
        <v>378</v>
      </c>
      <c r="D3" s="1088"/>
      <c r="E3" s="1089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22"/>
      <c r="U3" s="1023"/>
    </row>
    <row r="4" spans="2:21" ht="17.25" customHeight="1" x14ac:dyDescent="0.35">
      <c r="C4" s="1023" t="s">
        <v>397</v>
      </c>
      <c r="D4" s="1023"/>
      <c r="P4" s="1254"/>
      <c r="Q4" s="1022"/>
      <c r="R4" s="1026"/>
      <c r="U4" s="1023"/>
    </row>
    <row r="5" spans="2:21" ht="17.25" customHeight="1" x14ac:dyDescent="0.35">
      <c r="C5" s="1025" t="s">
        <v>376</v>
      </c>
      <c r="D5" s="1254"/>
      <c r="E5" s="1254"/>
      <c r="F5" s="1254"/>
      <c r="G5" s="1254"/>
      <c r="H5" s="1254"/>
      <c r="I5" s="1254"/>
      <c r="J5" s="1254"/>
      <c r="K5" s="1254"/>
      <c r="L5" s="1254"/>
      <c r="M5" s="1028">
        <v>39</v>
      </c>
      <c r="N5" s="1254" t="s">
        <v>13</v>
      </c>
      <c r="O5" s="1254"/>
      <c r="Q5" s="1022"/>
    </row>
    <row r="6" spans="2:21" ht="17.25" customHeight="1" thickBot="1" x14ac:dyDescent="0.4">
      <c r="C6" s="1025" t="s">
        <v>380</v>
      </c>
      <c r="D6" s="1023"/>
      <c r="E6" s="1025"/>
      <c r="F6" s="1025"/>
      <c r="G6" s="1025"/>
      <c r="H6" s="1025"/>
      <c r="I6" s="1673">
        <v>1119</v>
      </c>
      <c r="J6" s="1673"/>
      <c r="K6" s="1027" t="s">
        <v>381</v>
      </c>
      <c r="L6" s="1025"/>
      <c r="P6" s="1087" t="s">
        <v>382</v>
      </c>
      <c r="Q6" s="1022"/>
      <c r="R6" s="1026"/>
      <c r="U6" s="1023"/>
    </row>
    <row r="7" spans="2:21" ht="17.25" customHeight="1" thickBot="1" x14ac:dyDescent="0.4">
      <c r="C7" s="1365"/>
      <c r="D7" s="1721" t="s">
        <v>429</v>
      </c>
      <c r="E7" s="1722"/>
      <c r="F7" s="1723" t="s">
        <v>252</v>
      </c>
      <c r="G7" s="1724"/>
      <c r="H7" s="1724"/>
      <c r="I7" s="1725"/>
      <c r="J7" s="1366" t="s">
        <v>248</v>
      </c>
      <c r="K7" s="1367"/>
      <c r="L7" s="1367"/>
      <c r="M7" s="1368"/>
      <c r="Q7" s="1022"/>
      <c r="U7" s="1023"/>
    </row>
    <row r="8" spans="2:21" ht="17.25" customHeight="1" x14ac:dyDescent="0.35">
      <c r="C8" s="1369" t="s">
        <v>13</v>
      </c>
      <c r="D8" s="1710">
        <f>M5</f>
        <v>39</v>
      </c>
      <c r="E8" s="1726"/>
      <c r="F8" s="1727">
        <f>J8-D8</f>
        <v>61</v>
      </c>
      <c r="G8" s="1720"/>
      <c r="H8" s="1720"/>
      <c r="I8" s="1728"/>
      <c r="J8" s="1729">
        <v>100</v>
      </c>
      <c r="K8" s="1730"/>
      <c r="L8" s="1730"/>
      <c r="M8" s="1731"/>
      <c r="O8" s="1689"/>
      <c r="P8" s="1689"/>
      <c r="Q8" s="1022"/>
      <c r="U8" s="1023"/>
    </row>
    <row r="9" spans="2:21" ht="17.25" customHeight="1" thickBot="1" x14ac:dyDescent="0.4">
      <c r="C9" s="1370" t="s">
        <v>251</v>
      </c>
      <c r="D9" s="1732" t="s">
        <v>250</v>
      </c>
      <c r="E9" s="1733"/>
      <c r="F9" s="1704" t="s">
        <v>377</v>
      </c>
      <c r="G9" s="1705"/>
      <c r="H9" s="1705"/>
      <c r="I9" s="1706"/>
      <c r="J9" s="1707">
        <f>I6</f>
        <v>1119</v>
      </c>
      <c r="K9" s="1708"/>
      <c r="L9" s="1708"/>
      <c r="M9" s="1709"/>
      <c r="O9" s="1689"/>
      <c r="P9" s="1689"/>
      <c r="Q9" s="1022"/>
      <c r="U9" s="1023"/>
    </row>
    <row r="10" spans="2:21" ht="14.25" customHeight="1" x14ac:dyDescent="0.35">
      <c r="D10" s="1023"/>
      <c r="H10" s="1713" t="s">
        <v>224</v>
      </c>
      <c r="I10" s="1713"/>
      <c r="J10" s="1713"/>
      <c r="Q10" s="1022"/>
      <c r="U10" s="1023"/>
    </row>
    <row r="11" spans="2:21" ht="14.25" customHeight="1" x14ac:dyDescent="0.35">
      <c r="C11" s="1694">
        <f>D8</f>
        <v>39</v>
      </c>
      <c r="D11" s="1694"/>
      <c r="E11" s="1734" t="s">
        <v>3</v>
      </c>
      <c r="F11" s="1694">
        <f>J8</f>
        <v>100</v>
      </c>
      <c r="G11" s="1694"/>
      <c r="H11" s="1694"/>
      <c r="L11" s="1343"/>
      <c r="M11" s="1343"/>
      <c r="N11" s="1343"/>
      <c r="Q11" s="1022"/>
      <c r="U11" s="1023"/>
    </row>
    <row r="12" spans="2:21" ht="14.25" customHeight="1" x14ac:dyDescent="0.35">
      <c r="C12" s="1735" t="str">
        <f>D9</f>
        <v>E</v>
      </c>
      <c r="D12" s="1736"/>
      <c r="E12" s="1734"/>
      <c r="F12" s="1737">
        <f>J9</f>
        <v>1119</v>
      </c>
      <c r="G12" s="1737"/>
      <c r="H12" s="1737"/>
      <c r="L12" s="1343"/>
      <c r="M12" s="1344"/>
      <c r="N12" s="1344"/>
      <c r="Q12" s="1022"/>
      <c r="U12" s="1023"/>
    </row>
    <row r="13" spans="2:21" ht="14.25" customHeight="1" thickBot="1" x14ac:dyDescent="0.4">
      <c r="C13" s="1257"/>
      <c r="D13" s="1257"/>
      <c r="E13" s="1257"/>
      <c r="F13" s="1345"/>
      <c r="G13" s="1346"/>
      <c r="H13" s="1346"/>
      <c r="I13" s="1346"/>
      <c r="J13" s="1345"/>
      <c r="K13" s="1347"/>
      <c r="L13" s="1347"/>
      <c r="M13" s="1347"/>
      <c r="N13" s="1343"/>
      <c r="O13" s="1344"/>
      <c r="P13" s="1344"/>
      <c r="Q13" s="1022"/>
      <c r="U13" s="1023"/>
    </row>
    <row r="14" spans="2:21" ht="14.25" customHeight="1" thickBot="1" x14ac:dyDescent="0.4">
      <c r="C14" s="1371"/>
      <c r="D14" s="1372" t="str">
        <f>D7</f>
        <v xml:space="preserve">Etanol </v>
      </c>
      <c r="E14" s="1373"/>
      <c r="F14" s="1373"/>
      <c r="G14" s="1374" t="str">
        <f>J7</f>
        <v>Gasolina comum</v>
      </c>
      <c r="H14" s="1375"/>
      <c r="I14" s="1376"/>
      <c r="P14" s="1348"/>
      <c r="Q14" s="1022"/>
      <c r="U14" s="1023"/>
    </row>
    <row r="15" spans="2:21" ht="14.25" customHeight="1" x14ac:dyDescent="0.35">
      <c r="C15" s="1377" t="s">
        <v>13</v>
      </c>
      <c r="D15" s="1694">
        <f>D8</f>
        <v>39</v>
      </c>
      <c r="E15" s="1694"/>
      <c r="F15" s="1734" t="s">
        <v>3</v>
      </c>
      <c r="G15" s="1694">
        <f>J8</f>
        <v>100</v>
      </c>
      <c r="H15" s="1694"/>
      <c r="I15" s="1702"/>
      <c r="J15" s="1703"/>
      <c r="Q15" s="1022"/>
      <c r="U15" s="1023"/>
    </row>
    <row r="16" spans="2:21" ht="14.25" customHeight="1" thickBot="1" x14ac:dyDescent="0.4">
      <c r="C16" s="1378" t="s">
        <v>20</v>
      </c>
      <c r="D16" s="1738" t="str">
        <f>D9</f>
        <v>E</v>
      </c>
      <c r="E16" s="1738"/>
      <c r="F16" s="1717"/>
      <c r="G16" s="1739">
        <f>J9</f>
        <v>1119</v>
      </c>
      <c r="H16" s="1740"/>
      <c r="I16" s="1741"/>
      <c r="J16" s="1703"/>
      <c r="Q16" s="1022"/>
      <c r="T16" s="1254"/>
      <c r="U16" s="1023"/>
    </row>
    <row r="17" spans="2:21" s="950" customFormat="1" ht="14.25" customHeight="1" x14ac:dyDescent="0.35">
      <c r="B17" s="923"/>
      <c r="Q17" s="1022"/>
    </row>
    <row r="18" spans="2:21" s="950" customFormat="1" ht="14.25" customHeight="1" x14ac:dyDescent="0.35">
      <c r="B18" s="923"/>
      <c r="C18" s="1710">
        <f>D15</f>
        <v>39</v>
      </c>
      <c r="D18" s="1711"/>
      <c r="E18" s="1349" t="s">
        <v>22</v>
      </c>
      <c r="F18" s="1350">
        <f>G16</f>
        <v>1119</v>
      </c>
      <c r="G18" s="1349" t="s">
        <v>3</v>
      </c>
      <c r="H18" s="1349"/>
      <c r="I18" s="1712" t="str">
        <f>D16</f>
        <v>E</v>
      </c>
      <c r="J18" s="1712"/>
      <c r="K18" s="1712"/>
      <c r="L18" s="1351" t="s">
        <v>22</v>
      </c>
      <c r="M18" s="1700">
        <f>G15</f>
        <v>100</v>
      </c>
      <c r="N18" s="1700"/>
      <c r="O18" s="1701"/>
      <c r="Q18" s="1022"/>
    </row>
    <row r="19" spans="2:21" s="950" customFormat="1" ht="14.25" customHeight="1" x14ac:dyDescent="0.35">
      <c r="B19" s="923"/>
      <c r="C19" s="1714" t="str">
        <f>D16</f>
        <v>E</v>
      </c>
      <c r="D19" s="1716" t="s">
        <v>3</v>
      </c>
      <c r="E19" s="1718">
        <f>D15</f>
        <v>39</v>
      </c>
      <c r="F19" s="1718"/>
      <c r="G19" s="1352" t="s">
        <v>22</v>
      </c>
      <c r="H19" s="1719">
        <f>G16</f>
        <v>1119</v>
      </c>
      <c r="I19" s="1720"/>
      <c r="J19" s="1692" t="s">
        <v>3</v>
      </c>
      <c r="K19" s="1695">
        <f>E19*H19/E20</f>
        <v>436.41</v>
      </c>
      <c r="L19" s="1695"/>
      <c r="M19" s="1695" t="s">
        <v>372</v>
      </c>
      <c r="N19" s="1695"/>
      <c r="O19" s="1696"/>
      <c r="Q19" s="1022"/>
    </row>
    <row r="20" spans="2:21" s="950" customFormat="1" ht="14.25" customHeight="1" x14ac:dyDescent="0.35">
      <c r="B20" s="923"/>
      <c r="C20" s="1715"/>
      <c r="D20" s="1717"/>
      <c r="E20" s="1720">
        <f>G15</f>
        <v>100</v>
      </c>
      <c r="F20" s="1720"/>
      <c r="G20" s="1720"/>
      <c r="H20" s="1720"/>
      <c r="I20" s="1720"/>
      <c r="J20" s="1693"/>
      <c r="K20" s="1697"/>
      <c r="L20" s="1697"/>
      <c r="M20" s="1697"/>
      <c r="N20" s="1697"/>
      <c r="O20" s="1698"/>
      <c r="Q20" s="1022"/>
    </row>
    <row r="21" spans="2:21" ht="14.25" customHeight="1" thickBot="1" x14ac:dyDescent="0.4">
      <c r="C21" s="926"/>
      <c r="D21" s="926"/>
      <c r="E21" s="926"/>
      <c r="F21" s="926"/>
      <c r="G21" s="1348"/>
      <c r="H21" s="1348"/>
      <c r="I21" s="1348"/>
      <c r="J21" s="1348"/>
      <c r="K21" s="1348"/>
      <c r="L21" s="1348"/>
      <c r="M21" s="1348"/>
      <c r="N21" s="1348"/>
      <c r="Q21" s="1022"/>
      <c r="U21" s="1023"/>
    </row>
    <row r="22" spans="2:21" ht="14.25" customHeight="1" thickBot="1" x14ac:dyDescent="0.4">
      <c r="C22" s="1379" t="s">
        <v>379</v>
      </c>
      <c r="D22" s="1380"/>
      <c r="E22" s="1380"/>
      <c r="F22" s="1380"/>
      <c r="G22" s="1381"/>
      <c r="H22" s="1382" t="str">
        <f>CONCATENATE(I6,K6,"é")</f>
        <v>1119litros de gasolina comum é</v>
      </c>
      <c r="I22" s="1380"/>
      <c r="J22" s="1380"/>
      <c r="K22" s="1380"/>
      <c r="L22" s="1047"/>
      <c r="M22" s="1047"/>
      <c r="N22" s="1047">
        <f>K19</f>
        <v>436.41</v>
      </c>
      <c r="O22" s="1381" t="str">
        <f>CONCATENATE( "litros de etanol.")</f>
        <v>litros de etanol.</v>
      </c>
      <c r="P22" s="1383"/>
      <c r="Q22" s="1022"/>
      <c r="U22" s="1023"/>
    </row>
    <row r="23" spans="2:21" ht="14.25" customHeight="1" thickBot="1" x14ac:dyDescent="0.4">
      <c r="C23" s="1384" t="s">
        <v>370</v>
      </c>
      <c r="D23" s="1385">
        <f>M5/100</f>
        <v>0.39</v>
      </c>
      <c r="E23" s="1386" t="s">
        <v>383</v>
      </c>
      <c r="F23" s="1387">
        <f>H19</f>
        <v>1119</v>
      </c>
      <c r="G23" s="1388" t="str">
        <f>K6</f>
        <v xml:space="preserve">litros de gasolina comum </v>
      </c>
      <c r="H23" s="1389"/>
      <c r="I23" s="1389"/>
      <c r="J23" s="1690" t="s">
        <v>3</v>
      </c>
      <c r="K23" s="1691"/>
      <c r="L23" s="1699">
        <f>K19</f>
        <v>436.41</v>
      </c>
      <c r="M23" s="1699"/>
      <c r="N23" s="1390" t="str">
        <f>CONCATENATE( "litros de etanol.")</f>
        <v>litros de etanol.</v>
      </c>
      <c r="O23" s="1389"/>
      <c r="P23" s="1391"/>
      <c r="Q23" s="1022"/>
      <c r="U23" s="1023"/>
    </row>
    <row r="24" spans="2:21" ht="14.25" customHeight="1" x14ac:dyDescent="0.35"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1022"/>
      <c r="U24" s="1023"/>
    </row>
    <row r="25" spans="2:21" ht="17.25" customHeight="1" x14ac:dyDescent="0.35">
      <c r="B25" s="1089"/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1348"/>
      <c r="Q25" s="1088"/>
      <c r="U25" s="1023"/>
    </row>
    <row r="26" spans="2:21" ht="17.25" customHeight="1" x14ac:dyDescent="0.35">
      <c r="B26" s="1089"/>
      <c r="C26" s="1343"/>
      <c r="D26" s="1343"/>
      <c r="E26" s="1257"/>
      <c r="F26" s="1353"/>
      <c r="G26" s="1257"/>
      <c r="H26" s="1257"/>
      <c r="I26" s="1344"/>
      <c r="J26" s="1344"/>
      <c r="K26" s="1344"/>
      <c r="L26" s="926"/>
      <c r="M26" s="1343"/>
      <c r="N26" s="1343"/>
      <c r="O26" s="1343"/>
      <c r="P26" s="1348"/>
      <c r="Q26" s="1088"/>
      <c r="U26" s="1023"/>
    </row>
    <row r="27" spans="2:21" ht="17.25" customHeight="1" x14ac:dyDescent="0.35">
      <c r="B27" s="1089"/>
      <c r="C27" s="1354"/>
      <c r="D27" s="933"/>
      <c r="E27" s="1355"/>
      <c r="F27" s="1355"/>
      <c r="G27" s="1356"/>
      <c r="H27" s="926"/>
      <c r="I27" s="1357"/>
      <c r="J27" s="1358"/>
      <c r="K27" s="1359"/>
      <c r="L27" s="1359"/>
      <c r="M27" s="1359"/>
      <c r="N27" s="926"/>
      <c r="O27" s="926"/>
      <c r="P27" s="1348"/>
      <c r="Q27" s="1088"/>
      <c r="U27" s="1023"/>
    </row>
    <row r="28" spans="2:21" ht="17.25" customHeight="1" x14ac:dyDescent="0.35">
      <c r="B28" s="1089"/>
      <c r="C28" s="1354"/>
      <c r="D28" s="933"/>
      <c r="E28" s="1343"/>
      <c r="F28" s="1343"/>
      <c r="G28" s="1343"/>
      <c r="H28" s="1343"/>
      <c r="I28" s="1343"/>
      <c r="J28" s="1358"/>
      <c r="K28" s="1359"/>
      <c r="L28" s="1359"/>
      <c r="M28" s="1359"/>
      <c r="N28" s="926"/>
      <c r="O28" s="926"/>
      <c r="P28" s="1348"/>
      <c r="U28" s="1023"/>
    </row>
    <row r="29" spans="2:21" ht="17.25" customHeight="1" x14ac:dyDescent="0.35">
      <c r="B29" s="1089"/>
      <c r="C29" s="926"/>
      <c r="D29" s="1354"/>
      <c r="E29" s="933"/>
      <c r="F29" s="926"/>
      <c r="G29" s="926"/>
      <c r="H29" s="926"/>
      <c r="I29" s="926"/>
      <c r="J29" s="1358"/>
      <c r="K29" s="1359"/>
      <c r="L29" s="1359"/>
      <c r="M29" s="1359"/>
      <c r="N29" s="1348"/>
      <c r="U29" s="1023"/>
    </row>
    <row r="30" spans="2:21" ht="17.25" customHeight="1" x14ac:dyDescent="0.35">
      <c r="B30" s="1089"/>
      <c r="N30" s="1348"/>
      <c r="U30" s="1023"/>
    </row>
    <row r="31" spans="2:21" ht="17.25" customHeight="1" x14ac:dyDescent="0.35">
      <c r="B31" s="1089"/>
      <c r="N31" s="1348"/>
      <c r="U31" s="1023"/>
    </row>
    <row r="32" spans="2:21" ht="17.25" customHeight="1" x14ac:dyDescent="0.35">
      <c r="B32" s="1089"/>
      <c r="N32" s="1348"/>
      <c r="U32" s="1023"/>
    </row>
    <row r="33" spans="2:21" ht="17.25" customHeight="1" x14ac:dyDescent="0.35">
      <c r="B33" s="1089"/>
      <c r="C33" s="1348"/>
      <c r="E33" s="1348"/>
      <c r="F33" s="1348"/>
      <c r="G33" s="1348"/>
      <c r="H33" s="1348"/>
      <c r="I33" s="1348"/>
      <c r="J33" s="1348"/>
      <c r="K33" s="1348"/>
      <c r="L33" s="1348"/>
      <c r="M33" s="1348"/>
      <c r="N33" s="1348"/>
      <c r="U33" s="1023"/>
    </row>
    <row r="34" spans="2:21" ht="17.25" customHeight="1" x14ac:dyDescent="0.35">
      <c r="B34" s="1089"/>
      <c r="C34" s="1348"/>
      <c r="E34" s="1348"/>
      <c r="F34" s="1348"/>
      <c r="G34" s="1348"/>
      <c r="H34" s="1348"/>
      <c r="I34" s="1348"/>
      <c r="J34" s="1348"/>
      <c r="K34" s="1348"/>
      <c r="L34" s="1348"/>
      <c r="M34" s="1348"/>
      <c r="N34" s="1348"/>
      <c r="U34" s="1023"/>
    </row>
    <row r="35" spans="2:21" ht="17.25" customHeight="1" x14ac:dyDescent="0.35">
      <c r="B35" s="1089"/>
    </row>
    <row r="36" spans="2:21" ht="17.25" customHeight="1" x14ac:dyDescent="0.35">
      <c r="B36" s="1089"/>
    </row>
    <row r="37" spans="2:21" ht="17.25" customHeight="1" x14ac:dyDescent="0.35">
      <c r="B37" s="1089"/>
    </row>
    <row r="38" spans="2:21" ht="17.25" customHeight="1" x14ac:dyDescent="0.35">
      <c r="B38" s="1089"/>
    </row>
    <row r="39" spans="2:21" ht="17.25" customHeight="1" x14ac:dyDescent="0.35">
      <c r="B39" s="1089"/>
    </row>
    <row r="40" spans="2:21" ht="17.25" customHeight="1" x14ac:dyDescent="0.35">
      <c r="B40" s="1089"/>
    </row>
    <row r="41" spans="2:21" ht="17.25" customHeight="1" x14ac:dyDescent="0.35">
      <c r="B41" s="1089"/>
    </row>
    <row r="42" spans="2:21" ht="17.25" customHeight="1" x14ac:dyDescent="0.35">
      <c r="B42" s="1089"/>
    </row>
    <row r="43" spans="2:21" ht="17.25" customHeight="1" x14ac:dyDescent="0.35">
      <c r="B43" s="1089"/>
    </row>
    <row r="44" spans="2:21" ht="17.25" customHeight="1" x14ac:dyDescent="0.35">
      <c r="B44" s="1089"/>
    </row>
    <row r="45" spans="2:21" ht="17.25" customHeight="1" x14ac:dyDescent="0.35">
      <c r="B45" s="1089"/>
    </row>
    <row r="46" spans="2:21" ht="17.25" customHeight="1" x14ac:dyDescent="0.35">
      <c r="B46" s="1089"/>
    </row>
    <row r="47" spans="2:21" ht="17.25" customHeight="1" x14ac:dyDescent="0.35">
      <c r="B47" s="1089"/>
    </row>
    <row r="48" spans="2:21" ht="17.25" customHeight="1" x14ac:dyDescent="0.35">
      <c r="B48" s="1089"/>
    </row>
    <row r="49" spans="2:2" ht="17.25" customHeight="1" x14ac:dyDescent="0.35">
      <c r="B49" s="1089"/>
    </row>
  </sheetData>
  <mergeCells count="35">
    <mergeCell ref="D15:E15"/>
    <mergeCell ref="F15:F16"/>
    <mergeCell ref="C11:D11"/>
    <mergeCell ref="E11:E12"/>
    <mergeCell ref="C12:D12"/>
    <mergeCell ref="F12:H12"/>
    <mergeCell ref="D16:E16"/>
    <mergeCell ref="G16:I16"/>
    <mergeCell ref="C18:D18"/>
    <mergeCell ref="I18:K18"/>
    <mergeCell ref="I6:J6"/>
    <mergeCell ref="H10:J10"/>
    <mergeCell ref="K19:L20"/>
    <mergeCell ref="C19:C20"/>
    <mergeCell ref="D19:D20"/>
    <mergeCell ref="E19:F19"/>
    <mergeCell ref="H19:I19"/>
    <mergeCell ref="E20:I20"/>
    <mergeCell ref="D7:E7"/>
    <mergeCell ref="F7:I7"/>
    <mergeCell ref="D8:E8"/>
    <mergeCell ref="F8:I8"/>
    <mergeCell ref="J8:M8"/>
    <mergeCell ref="D9:E9"/>
    <mergeCell ref="O8:P9"/>
    <mergeCell ref="J23:K23"/>
    <mergeCell ref="J19:J20"/>
    <mergeCell ref="F11:H11"/>
    <mergeCell ref="M19:O20"/>
    <mergeCell ref="L23:M23"/>
    <mergeCell ref="M18:O18"/>
    <mergeCell ref="G15:I15"/>
    <mergeCell ref="J15:J16"/>
    <mergeCell ref="F9:I9"/>
    <mergeCell ref="J9:M9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B1:U48"/>
  <sheetViews>
    <sheetView workbookViewId="0">
      <selection activeCell="M12" sqref="M12"/>
    </sheetView>
  </sheetViews>
  <sheetFormatPr defaultColWidth="28.09765625" defaultRowHeight="14.4" customHeight="1" x14ac:dyDescent="0.3"/>
  <cols>
    <col min="1" max="1" width="3.19921875" style="828" customWidth="1"/>
    <col min="2" max="2" width="3" style="825" customWidth="1"/>
    <col min="3" max="3" width="8.59765625" style="828" customWidth="1"/>
    <col min="4" max="4" width="7.59765625" style="829" customWidth="1"/>
    <col min="5" max="5" width="10.5" style="828" customWidth="1"/>
    <col min="6" max="6" width="7.19921875" style="828" customWidth="1"/>
    <col min="7" max="7" width="17.19921875" style="828" customWidth="1"/>
    <col min="8" max="8" width="9.09765625" style="828" customWidth="1"/>
    <col min="9" max="9" width="6.3984375" style="828" customWidth="1"/>
    <col min="10" max="10" width="6.09765625" style="828" customWidth="1"/>
    <col min="11" max="11" width="5.3984375" style="828" customWidth="1"/>
    <col min="12" max="12" width="3.59765625" style="828" customWidth="1"/>
    <col min="13" max="13" width="3.8984375" style="828" customWidth="1"/>
    <col min="14" max="14" width="6.3984375" style="828" customWidth="1"/>
    <col min="15" max="15" width="11.8984375" style="828" customWidth="1"/>
    <col min="16" max="16" width="12.3984375" style="828" customWidth="1"/>
    <col min="17" max="17" width="1.8984375" style="828" bestFit="1" customWidth="1"/>
    <col min="18" max="18" width="10.8984375" style="828" customWidth="1"/>
    <col min="19" max="19" width="5.19921875" style="828" customWidth="1"/>
    <col min="20" max="20" width="10.59765625" style="828" customWidth="1"/>
    <col min="21" max="21" width="10.59765625" style="1305" customWidth="1"/>
    <col min="22" max="31" width="10.59765625" style="828" customWidth="1"/>
    <col min="32" max="16384" width="28.09765625" style="828"/>
  </cols>
  <sheetData>
    <row r="1" spans="2:21" ht="14.4" customHeight="1" x14ac:dyDescent="0.3">
      <c r="B1" s="828"/>
    </row>
    <row r="2" spans="2:21" ht="14.4" customHeight="1" x14ac:dyDescent="0.3">
      <c r="B2" s="825" t="str">
        <f>Inicio!J6</f>
        <v>Estudante</v>
      </c>
      <c r="C2" s="825"/>
      <c r="D2" s="826"/>
      <c r="E2" s="825" t="s">
        <v>256</v>
      </c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U2" s="828"/>
    </row>
    <row r="3" spans="2:21" s="1136" customFormat="1" ht="14.4" customHeight="1" x14ac:dyDescent="0.3">
      <c r="B3" s="1137"/>
      <c r="C3" s="1481" t="s">
        <v>392</v>
      </c>
      <c r="D3" s="1482"/>
      <c r="E3" s="1483"/>
      <c r="F3" s="1482"/>
      <c r="G3" s="1482"/>
      <c r="J3" s="1744">
        <v>3000</v>
      </c>
      <c r="K3" s="1744"/>
      <c r="L3" s="1744"/>
      <c r="M3" s="1481" t="s">
        <v>388</v>
      </c>
      <c r="O3" s="1482"/>
      <c r="P3" s="1482"/>
      <c r="Q3" s="1138"/>
    </row>
    <row r="4" spans="2:21" ht="14.4" customHeight="1" x14ac:dyDescent="0.3">
      <c r="C4" s="1139" t="s">
        <v>390</v>
      </c>
      <c r="D4" s="1304"/>
      <c r="E4" s="1304"/>
      <c r="F4" s="1304"/>
      <c r="G4" s="1304"/>
      <c r="H4" s="1745">
        <v>1000</v>
      </c>
      <c r="I4" s="1745"/>
      <c r="J4" s="838"/>
      <c r="K4" s="1481" t="s">
        <v>366</v>
      </c>
      <c r="L4" s="1304"/>
      <c r="M4" s="1304"/>
      <c r="N4" s="1304"/>
      <c r="O4" s="1304"/>
      <c r="P4" s="1304"/>
      <c r="Q4" s="826"/>
      <c r="R4" s="1304"/>
      <c r="U4" s="828"/>
    </row>
    <row r="5" spans="2:21" s="1136" customFormat="1" ht="14.4" customHeight="1" thickBot="1" x14ac:dyDescent="0.35">
      <c r="B5" s="1137"/>
      <c r="C5" s="1481" t="s">
        <v>408</v>
      </c>
      <c r="D5" s="1139"/>
      <c r="P5" s="1484"/>
      <c r="Q5" s="1138"/>
      <c r="R5" s="1168"/>
    </row>
    <row r="6" spans="2:21" ht="14.4" customHeight="1" thickBot="1" x14ac:dyDescent="0.35">
      <c r="C6" s="1485"/>
      <c r="D6" s="1746" t="s">
        <v>465</v>
      </c>
      <c r="E6" s="1747"/>
      <c r="F6" s="1748" t="s">
        <v>252</v>
      </c>
      <c r="G6" s="1749"/>
      <c r="H6" s="1749"/>
      <c r="I6" s="1750"/>
      <c r="J6" s="1486" t="s">
        <v>248</v>
      </c>
      <c r="K6" s="1487"/>
      <c r="L6" s="1487"/>
      <c r="M6" s="1488"/>
      <c r="Q6" s="826"/>
      <c r="U6" s="828"/>
    </row>
    <row r="7" spans="2:21" ht="14.4" customHeight="1" x14ac:dyDescent="0.3">
      <c r="C7" s="1489" t="s">
        <v>13</v>
      </c>
      <c r="D7" s="1534" t="s">
        <v>389</v>
      </c>
      <c r="E7" s="1506"/>
      <c r="F7" s="1534" t="s">
        <v>393</v>
      </c>
      <c r="G7" s="1535"/>
      <c r="H7" s="1535"/>
      <c r="I7" s="1536"/>
      <c r="J7" s="1537">
        <v>100</v>
      </c>
      <c r="K7" s="1538"/>
      <c r="L7" s="1538"/>
      <c r="M7" s="1539"/>
      <c r="O7" s="1569"/>
      <c r="P7" s="1569"/>
      <c r="Q7" s="826"/>
      <c r="U7" s="828"/>
    </row>
    <row r="8" spans="2:21" ht="14.4" customHeight="1" thickBot="1" x14ac:dyDescent="0.35">
      <c r="C8" s="1490" t="s">
        <v>251</v>
      </c>
      <c r="D8" s="1754">
        <f>H4</f>
        <v>1000</v>
      </c>
      <c r="E8" s="1755"/>
      <c r="F8" s="1572">
        <f>J3</f>
        <v>3000</v>
      </c>
      <c r="G8" s="1573"/>
      <c r="H8" s="1573"/>
      <c r="I8" s="1574"/>
      <c r="J8" s="1575">
        <f>D8+F8</f>
        <v>4000</v>
      </c>
      <c r="K8" s="1576"/>
      <c r="L8" s="1576"/>
      <c r="M8" s="1577"/>
      <c r="O8" s="1569"/>
      <c r="P8" s="1569"/>
      <c r="Q8" s="826"/>
      <c r="U8" s="828"/>
    </row>
    <row r="9" spans="2:21" ht="14.4" customHeight="1" x14ac:dyDescent="0.3">
      <c r="D9" s="828"/>
      <c r="I9" s="828" t="s">
        <v>224</v>
      </c>
      <c r="Q9" s="826"/>
      <c r="U9" s="828"/>
    </row>
    <row r="10" spans="2:21" ht="14.4" customHeight="1" x14ac:dyDescent="0.3">
      <c r="C10" s="1546" t="str">
        <f>F7</f>
        <v>PGp</v>
      </c>
      <c r="D10" s="1546"/>
      <c r="E10" s="1582" t="s">
        <v>3</v>
      </c>
      <c r="F10" s="1546">
        <f>J7</f>
        <v>100</v>
      </c>
      <c r="G10" s="1546"/>
      <c r="H10" s="1546"/>
      <c r="L10" s="1314"/>
      <c r="M10" s="1314"/>
      <c r="N10" s="1314"/>
      <c r="Q10" s="826"/>
      <c r="U10" s="828"/>
    </row>
    <row r="11" spans="2:21" ht="14.4" customHeight="1" x14ac:dyDescent="0.3">
      <c r="C11" s="1545">
        <f>F8</f>
        <v>3000</v>
      </c>
      <c r="D11" s="1545"/>
      <c r="E11" s="1582"/>
      <c r="F11" s="1753">
        <f>J8</f>
        <v>4000</v>
      </c>
      <c r="G11" s="1753"/>
      <c r="H11" s="1753"/>
      <c r="L11" s="1314"/>
      <c r="M11" s="1315"/>
      <c r="N11" s="1315"/>
      <c r="Q11" s="826"/>
      <c r="U11" s="828"/>
    </row>
    <row r="12" spans="2:21" ht="14.4" customHeight="1" thickBot="1" x14ac:dyDescent="0.35">
      <c r="C12" s="1249"/>
      <c r="D12" s="1249"/>
      <c r="E12" s="1249"/>
      <c r="F12" s="1462"/>
      <c r="G12" s="1459"/>
      <c r="H12" s="1459"/>
      <c r="I12" s="1459"/>
      <c r="J12" s="1462"/>
      <c r="K12" s="1317"/>
      <c r="L12" s="1317"/>
      <c r="M12" s="1317"/>
      <c r="N12" s="1314"/>
      <c r="O12" s="1315"/>
      <c r="P12" s="1315"/>
      <c r="Q12" s="826"/>
      <c r="U12" s="828"/>
    </row>
    <row r="13" spans="2:21" ht="14.4" customHeight="1" thickBot="1" x14ac:dyDescent="0.35">
      <c r="C13" s="1485"/>
      <c r="D13" s="1742" t="str">
        <f>F6</f>
        <v>Gasolina Pura</v>
      </c>
      <c r="E13" s="1743"/>
      <c r="F13" s="1491"/>
      <c r="G13" s="1751" t="str">
        <f>J6</f>
        <v>Gasolina comum</v>
      </c>
      <c r="H13" s="1752"/>
      <c r="I13" s="1752"/>
      <c r="P13" s="829"/>
      <c r="Q13" s="826"/>
      <c r="U13" s="828"/>
    </row>
    <row r="14" spans="2:21" ht="14.4" customHeight="1" x14ac:dyDescent="0.3">
      <c r="C14" s="1492" t="s">
        <v>13</v>
      </c>
      <c r="D14" s="1584" t="str">
        <f>C10</f>
        <v>PGp</v>
      </c>
      <c r="E14" s="1546"/>
      <c r="F14" s="1582" t="s">
        <v>3</v>
      </c>
      <c r="G14" s="1546">
        <f>F10</f>
        <v>100</v>
      </c>
      <c r="H14" s="1546"/>
      <c r="I14" s="1585"/>
      <c r="J14" s="1554"/>
      <c r="Q14" s="826"/>
      <c r="U14" s="828"/>
    </row>
    <row r="15" spans="2:21" ht="14.4" customHeight="1" x14ac:dyDescent="0.3">
      <c r="C15" s="1493" t="s">
        <v>20</v>
      </c>
      <c r="D15" s="1757">
        <f>C11</f>
        <v>3000</v>
      </c>
      <c r="E15" s="1758"/>
      <c r="F15" s="1552"/>
      <c r="G15" s="1759">
        <f>F11</f>
        <v>4000</v>
      </c>
      <c r="H15" s="1760"/>
      <c r="I15" s="1761"/>
      <c r="J15" s="1554"/>
      <c r="Q15" s="826"/>
      <c r="T15" s="1458"/>
      <c r="U15" s="828"/>
    </row>
    <row r="16" spans="2:21" s="838" customFormat="1" ht="14.4" customHeight="1" x14ac:dyDescent="0.3">
      <c r="B16" s="825"/>
      <c r="Q16" s="826"/>
    </row>
    <row r="17" spans="2:21" s="838" customFormat="1" ht="14.4" customHeight="1" x14ac:dyDescent="0.3">
      <c r="B17" s="825"/>
      <c r="C17" s="1547" t="str">
        <f>D14</f>
        <v>PGp</v>
      </c>
      <c r="D17" s="1578"/>
      <c r="E17" s="1325" t="s">
        <v>22</v>
      </c>
      <c r="F17" s="1494">
        <f>G15</f>
        <v>4000</v>
      </c>
      <c r="G17" s="1325" t="s">
        <v>3</v>
      </c>
      <c r="H17" s="1325"/>
      <c r="I17" s="1756">
        <f>D15</f>
        <v>3000</v>
      </c>
      <c r="J17" s="1756"/>
      <c r="K17" s="1756"/>
      <c r="L17" s="1327" t="s">
        <v>22</v>
      </c>
      <c r="M17" s="1580">
        <f>G14</f>
        <v>100</v>
      </c>
      <c r="N17" s="1580"/>
      <c r="O17" s="1581"/>
      <c r="Q17" s="826"/>
    </row>
    <row r="18" spans="2:21" s="838" customFormat="1" ht="14.4" customHeight="1" x14ac:dyDescent="0.3">
      <c r="B18" s="825"/>
      <c r="C18" s="1765" t="str">
        <f>C17</f>
        <v>PGp</v>
      </c>
      <c r="D18" s="1551" t="s">
        <v>3</v>
      </c>
      <c r="E18" s="1767">
        <f>I17</f>
        <v>3000</v>
      </c>
      <c r="F18" s="1767"/>
      <c r="G18" s="1328" t="s">
        <v>22</v>
      </c>
      <c r="H18" s="1535">
        <f>G14</f>
        <v>100</v>
      </c>
      <c r="I18" s="1535"/>
      <c r="J18" s="1567" t="s">
        <v>3</v>
      </c>
      <c r="K18" s="1768">
        <f>E18*H18/E19/100</f>
        <v>0.75</v>
      </c>
      <c r="L18" s="1768"/>
      <c r="M18" s="1768"/>
      <c r="N18" s="1329"/>
      <c r="O18" s="1330"/>
      <c r="Q18" s="826"/>
    </row>
    <row r="19" spans="2:21" s="838" customFormat="1" ht="14.4" customHeight="1" x14ac:dyDescent="0.3">
      <c r="B19" s="825"/>
      <c r="C19" s="1766"/>
      <c r="D19" s="1552"/>
      <c r="E19" s="1759">
        <f>G15</f>
        <v>4000</v>
      </c>
      <c r="F19" s="1760"/>
      <c r="G19" s="1760"/>
      <c r="H19" s="1760"/>
      <c r="I19" s="1760"/>
      <c r="J19" s="1568"/>
      <c r="K19" s="1769"/>
      <c r="L19" s="1769"/>
      <c r="M19" s="1769"/>
      <c r="N19" s="1331"/>
      <c r="O19" s="1332"/>
      <c r="Q19" s="826"/>
    </row>
    <row r="20" spans="2:21" ht="14.4" customHeight="1" x14ac:dyDescent="0.3">
      <c r="C20" s="832"/>
      <c r="D20" s="832"/>
      <c r="E20" s="832"/>
      <c r="F20" s="832"/>
      <c r="G20" s="829"/>
      <c r="H20" s="829"/>
      <c r="I20" s="829"/>
      <c r="J20" s="829"/>
      <c r="K20" s="829"/>
      <c r="L20" s="829"/>
      <c r="M20" s="829"/>
      <c r="N20" s="829"/>
      <c r="Q20" s="826"/>
      <c r="U20" s="828"/>
    </row>
    <row r="21" spans="2:21" ht="14.4" customHeight="1" x14ac:dyDescent="0.3">
      <c r="C21" s="1333" t="s">
        <v>409</v>
      </c>
      <c r="D21" s="1329"/>
      <c r="E21" s="1329"/>
      <c r="F21" s="1329"/>
      <c r="G21" s="1319"/>
      <c r="H21" s="1495"/>
      <c r="I21" s="1495"/>
      <c r="J21" s="1495"/>
      <c r="K21" s="1496"/>
      <c r="L21" s="1762">
        <f>K18</f>
        <v>0.75</v>
      </c>
      <c r="M21" s="1763"/>
      <c r="N21" s="1764"/>
      <c r="O21" s="1322"/>
      <c r="P21" s="829"/>
      <c r="Q21" s="826"/>
      <c r="U21" s="828"/>
    </row>
    <row r="22" spans="2:21" ht="14.4" customHeight="1" x14ac:dyDescent="0.3">
      <c r="C22" s="1017"/>
      <c r="D22" s="1461"/>
      <c r="E22" s="1460"/>
      <c r="F22" s="1019"/>
      <c r="G22" s="1020"/>
      <c r="H22" s="1020"/>
      <c r="I22" s="1020"/>
      <c r="J22" s="1020"/>
      <c r="K22" s="1020"/>
      <c r="L22" s="1020"/>
      <c r="M22" s="1319"/>
      <c r="N22" s="1319"/>
      <c r="O22" s="1021"/>
      <c r="P22" s="829"/>
      <c r="Q22" s="826"/>
      <c r="U22" s="828"/>
    </row>
    <row r="23" spans="2:21" ht="14.4" customHeight="1" x14ac:dyDescent="0.3"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6"/>
      <c r="U23" s="828"/>
    </row>
    <row r="24" spans="2:21" ht="14.4" customHeight="1" x14ac:dyDescent="0.3">
      <c r="B24" s="859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29"/>
      <c r="Q24" s="827"/>
      <c r="U24" s="828"/>
    </row>
    <row r="25" spans="2:21" ht="14.4" customHeight="1" x14ac:dyDescent="0.3">
      <c r="B25" s="859"/>
      <c r="C25" s="1314"/>
      <c r="D25" s="1314"/>
      <c r="E25" s="1249"/>
      <c r="F25" s="1334"/>
      <c r="G25" s="1249"/>
      <c r="H25" s="1249"/>
      <c r="I25" s="1315"/>
      <c r="J25" s="1315"/>
      <c r="K25" s="1315"/>
      <c r="L25" s="832"/>
      <c r="M25" s="1314"/>
      <c r="N25" s="1314"/>
      <c r="O25" s="1314"/>
      <c r="P25" s="829"/>
      <c r="Q25" s="827"/>
      <c r="U25" s="828"/>
    </row>
    <row r="26" spans="2:21" ht="14.4" customHeight="1" x14ac:dyDescent="0.3">
      <c r="B26" s="859"/>
      <c r="C26" s="1335"/>
      <c r="D26" s="1336"/>
      <c r="E26" s="1337"/>
      <c r="F26" s="1337"/>
      <c r="G26" s="1338"/>
      <c r="H26" s="832"/>
      <c r="I26" s="1339"/>
      <c r="J26" s="1340"/>
      <c r="K26" s="1341"/>
      <c r="L26" s="1341"/>
      <c r="M26" s="1341"/>
      <c r="N26" s="832"/>
      <c r="O26" s="832"/>
      <c r="P26" s="829"/>
      <c r="Q26" s="827"/>
      <c r="U26" s="828"/>
    </row>
    <row r="27" spans="2:21" ht="14.4" customHeight="1" x14ac:dyDescent="0.3">
      <c r="B27" s="859"/>
      <c r="C27" s="1335"/>
      <c r="D27" s="1336"/>
      <c r="E27" s="1314"/>
      <c r="F27" s="1314"/>
      <c r="G27" s="1314"/>
      <c r="H27" s="1314"/>
      <c r="I27" s="1314"/>
      <c r="J27" s="1340"/>
      <c r="K27" s="1341"/>
      <c r="L27" s="1341"/>
      <c r="M27" s="1341"/>
      <c r="N27" s="832"/>
      <c r="O27" s="832"/>
      <c r="P27" s="829"/>
      <c r="U27" s="828"/>
    </row>
    <row r="28" spans="2:21" ht="14.4" customHeight="1" x14ac:dyDescent="0.3">
      <c r="B28" s="859"/>
      <c r="C28" s="832"/>
      <c r="D28" s="1335"/>
      <c r="E28" s="1336"/>
      <c r="F28" s="832"/>
      <c r="G28" s="832"/>
      <c r="H28" s="832"/>
      <c r="I28" s="832"/>
      <c r="J28" s="1340"/>
      <c r="K28" s="1341"/>
      <c r="L28" s="1341"/>
      <c r="M28" s="1341"/>
      <c r="N28" s="829"/>
      <c r="U28" s="828"/>
    </row>
    <row r="29" spans="2:21" ht="14.4" customHeight="1" x14ac:dyDescent="0.3">
      <c r="B29" s="859"/>
      <c r="N29" s="829"/>
      <c r="U29" s="828"/>
    </row>
    <row r="30" spans="2:21" ht="14.4" customHeight="1" x14ac:dyDescent="0.3">
      <c r="B30" s="859"/>
      <c r="N30" s="829"/>
      <c r="U30" s="828"/>
    </row>
    <row r="31" spans="2:21" ht="14.4" customHeight="1" x14ac:dyDescent="0.3">
      <c r="B31" s="859"/>
      <c r="N31" s="829"/>
      <c r="U31" s="828"/>
    </row>
    <row r="32" spans="2:21" ht="14.4" customHeight="1" x14ac:dyDescent="0.3">
      <c r="B32" s="859"/>
      <c r="C32" s="829"/>
      <c r="E32" s="829"/>
      <c r="F32" s="829"/>
      <c r="G32" s="829"/>
      <c r="H32" s="829"/>
      <c r="I32" s="829"/>
      <c r="J32" s="829"/>
      <c r="K32" s="829"/>
      <c r="L32" s="829"/>
      <c r="M32" s="829"/>
      <c r="N32" s="829"/>
      <c r="U32" s="828"/>
    </row>
    <row r="33" spans="2:21" ht="14.4" customHeight="1" x14ac:dyDescent="0.3">
      <c r="B33" s="859"/>
      <c r="C33" s="829"/>
      <c r="E33" s="829"/>
      <c r="F33" s="829"/>
      <c r="G33" s="829"/>
      <c r="H33" s="829"/>
      <c r="I33" s="829"/>
      <c r="J33" s="829"/>
      <c r="K33" s="829"/>
      <c r="L33" s="829"/>
      <c r="M33" s="829"/>
      <c r="N33" s="829"/>
      <c r="U33" s="828"/>
    </row>
    <row r="34" spans="2:21" ht="14.4" customHeight="1" x14ac:dyDescent="0.3">
      <c r="B34" s="859"/>
    </row>
    <row r="35" spans="2:21" ht="14.4" customHeight="1" x14ac:dyDescent="0.3">
      <c r="B35" s="859"/>
    </row>
    <row r="36" spans="2:21" ht="14.4" customHeight="1" x14ac:dyDescent="0.3">
      <c r="B36" s="859"/>
    </row>
    <row r="37" spans="2:21" ht="14.4" customHeight="1" x14ac:dyDescent="0.3">
      <c r="B37" s="859"/>
    </row>
    <row r="38" spans="2:21" ht="14.4" customHeight="1" x14ac:dyDescent="0.3">
      <c r="B38" s="859"/>
    </row>
    <row r="39" spans="2:21" ht="14.4" customHeight="1" x14ac:dyDescent="0.3">
      <c r="B39" s="859"/>
    </row>
    <row r="40" spans="2:21" ht="14.4" customHeight="1" x14ac:dyDescent="0.3">
      <c r="B40" s="859"/>
    </row>
    <row r="41" spans="2:21" ht="14.4" customHeight="1" x14ac:dyDescent="0.3">
      <c r="B41" s="859"/>
    </row>
    <row r="42" spans="2:21" ht="14.4" customHeight="1" x14ac:dyDescent="0.3">
      <c r="B42" s="859"/>
    </row>
    <row r="43" spans="2:21" ht="14.4" customHeight="1" x14ac:dyDescent="0.3">
      <c r="B43" s="859"/>
    </row>
    <row r="44" spans="2:21" ht="14.4" customHeight="1" x14ac:dyDescent="0.3">
      <c r="B44" s="859"/>
    </row>
    <row r="45" spans="2:21" ht="14.4" customHeight="1" x14ac:dyDescent="0.3">
      <c r="B45" s="859"/>
    </row>
    <row r="46" spans="2:21" ht="14.4" customHeight="1" x14ac:dyDescent="0.3">
      <c r="B46" s="859"/>
    </row>
    <row r="47" spans="2:21" ht="14.4" customHeight="1" x14ac:dyDescent="0.3">
      <c r="B47" s="859"/>
    </row>
    <row r="48" spans="2:21" ht="14.4" customHeight="1" x14ac:dyDescent="0.3">
      <c r="B48" s="859"/>
    </row>
  </sheetData>
  <mergeCells count="35">
    <mergeCell ref="L21:N21"/>
    <mergeCell ref="C18:C19"/>
    <mergeCell ref="D18:D19"/>
    <mergeCell ref="E18:F18"/>
    <mergeCell ref="H18:I18"/>
    <mergeCell ref="J18:J19"/>
    <mergeCell ref="K18:M19"/>
    <mergeCell ref="E19:I19"/>
    <mergeCell ref="J14:J15"/>
    <mergeCell ref="C17:D17"/>
    <mergeCell ref="I17:K17"/>
    <mergeCell ref="M17:O17"/>
    <mergeCell ref="D15:E15"/>
    <mergeCell ref="G15:I15"/>
    <mergeCell ref="D14:E14"/>
    <mergeCell ref="F14:F15"/>
    <mergeCell ref="G14:I14"/>
    <mergeCell ref="O7:P8"/>
    <mergeCell ref="J7:M7"/>
    <mergeCell ref="D7:E7"/>
    <mergeCell ref="F7:I7"/>
    <mergeCell ref="D8:E8"/>
    <mergeCell ref="F8:I8"/>
    <mergeCell ref="J8:M8"/>
    <mergeCell ref="C10:D10"/>
    <mergeCell ref="E10:E11"/>
    <mergeCell ref="F10:H10"/>
    <mergeCell ref="D13:E13"/>
    <mergeCell ref="J3:L3"/>
    <mergeCell ref="H4:I4"/>
    <mergeCell ref="D6:E6"/>
    <mergeCell ref="F6:I6"/>
    <mergeCell ref="G13:I13"/>
    <mergeCell ref="C11:D11"/>
    <mergeCell ref="F11:H11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T177"/>
  <sheetViews>
    <sheetView workbookViewId="0">
      <selection activeCell="R3" sqref="R3"/>
    </sheetView>
  </sheetViews>
  <sheetFormatPr defaultColWidth="28.09765625" defaultRowHeight="11.25" customHeight="1" x14ac:dyDescent="0.2"/>
  <cols>
    <col min="1" max="1" width="2.69921875" style="1261" customWidth="1"/>
    <col min="2" max="2" width="4.3984375" style="1263" customWidth="1"/>
    <col min="3" max="3" width="7.5" style="1267" customWidth="1"/>
    <col min="4" max="4" width="8.3984375" style="1263" customWidth="1"/>
    <col min="5" max="5" width="5.8984375" style="1263" customWidth="1"/>
    <col min="6" max="7" width="3.69921875" style="1263" customWidth="1"/>
    <col min="8" max="8" width="6.19921875" style="1263" customWidth="1"/>
    <col min="9" max="9" width="4.3984375" style="1263" customWidth="1"/>
    <col min="10" max="10" width="5.3984375" style="1263" customWidth="1"/>
    <col min="11" max="11" width="3.69921875" style="1263" customWidth="1"/>
    <col min="12" max="12" width="3.8984375" style="1263" customWidth="1"/>
    <col min="13" max="13" width="6.3984375" style="1263" customWidth="1"/>
    <col min="14" max="14" width="14.69921875" style="1263" customWidth="1"/>
    <col min="15" max="15" width="15.19921875" style="1263" customWidth="1"/>
    <col min="16" max="16" width="1.8984375" style="1263" bestFit="1" customWidth="1"/>
    <col min="17" max="17" width="3.19921875" style="1263" customWidth="1"/>
    <col min="18" max="18" width="5.19921875" style="1263" customWidth="1"/>
    <col min="19" max="19" width="10.59765625" style="1263" customWidth="1"/>
    <col min="20" max="20" width="10.59765625" style="1268" customWidth="1"/>
    <col min="21" max="30" width="10.59765625" style="1263" customWidth="1"/>
    <col min="31" max="16384" width="28.09765625" style="1263"/>
  </cols>
  <sheetData>
    <row r="1" spans="1:19" s="1263" customFormat="1" ht="11.25" customHeight="1" x14ac:dyDescent="0.2">
      <c r="A1" s="1261" t="str">
        <f>Inicio!J6</f>
        <v>Estudante</v>
      </c>
      <c r="B1" s="1261"/>
      <c r="C1" s="1262"/>
      <c r="D1" s="1261" t="s">
        <v>256</v>
      </c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</row>
    <row r="2" spans="1:19" s="1263" customFormat="1" ht="11.25" customHeight="1" x14ac:dyDescent="0.2">
      <c r="A2" s="1261"/>
      <c r="B2" s="1264" t="s">
        <v>332</v>
      </c>
      <c r="C2" s="1265"/>
      <c r="D2" s="1266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2"/>
    </row>
    <row r="3" spans="1:19" s="1263" customFormat="1" ht="11.25" customHeight="1" x14ac:dyDescent="0.2">
      <c r="A3" s="1261"/>
      <c r="B3" s="1267" t="s">
        <v>424</v>
      </c>
      <c r="D3" s="1268"/>
      <c r="E3" s="1268"/>
      <c r="H3" s="1269">
        <v>6.3</v>
      </c>
      <c r="I3" s="1263" t="s">
        <v>219</v>
      </c>
      <c r="O3" s="1270">
        <v>3509</v>
      </c>
      <c r="P3" s="1263" t="s">
        <v>42</v>
      </c>
      <c r="Q3" s="1262"/>
    </row>
    <row r="4" spans="1:19" s="1263" customFormat="1" ht="11.25" customHeight="1" x14ac:dyDescent="0.2">
      <c r="A4" s="1261"/>
      <c r="B4" s="1267" t="s">
        <v>227</v>
      </c>
      <c r="Q4" s="1262"/>
    </row>
    <row r="5" spans="1:19" s="1263" customFormat="1" ht="11.25" customHeight="1" x14ac:dyDescent="0.2">
      <c r="A5" s="1261"/>
      <c r="B5" s="1267" t="s">
        <v>228</v>
      </c>
      <c r="Q5" s="1262"/>
    </row>
    <row r="6" spans="1:19" s="1263" customFormat="1" ht="11.25" customHeight="1" x14ac:dyDescent="0.2">
      <c r="A6" s="1261"/>
      <c r="C6" s="1267"/>
      <c r="Q6" s="1262"/>
    </row>
    <row r="7" spans="1:19" s="1263" customFormat="1" ht="11.25" customHeight="1" thickBot="1" x14ac:dyDescent="0.25">
      <c r="A7" s="1261"/>
      <c r="B7" s="1267"/>
      <c r="C7" s="1271" t="s">
        <v>425</v>
      </c>
      <c r="D7" s="1272"/>
      <c r="E7" s="1273" t="s">
        <v>426</v>
      </c>
      <c r="F7" s="1274"/>
      <c r="G7" s="1274"/>
      <c r="H7" s="1272"/>
      <c r="I7" s="1275" t="s">
        <v>221</v>
      </c>
      <c r="J7" s="1276"/>
      <c r="K7" s="1276"/>
      <c r="L7" s="1277"/>
      <c r="Q7" s="1262"/>
    </row>
    <row r="8" spans="1:19" s="1263" customFormat="1" ht="11.25" customHeight="1" x14ac:dyDescent="0.2">
      <c r="A8" s="1261"/>
      <c r="B8" s="1278" t="s">
        <v>13</v>
      </c>
      <c r="C8" s="1770">
        <v>100</v>
      </c>
      <c r="D8" s="1771"/>
      <c r="E8" s="1772">
        <f>H3</f>
        <v>6.3</v>
      </c>
      <c r="F8" s="1773"/>
      <c r="G8" s="1773"/>
      <c r="H8" s="1773"/>
      <c r="I8" s="1774">
        <f>C8-E8</f>
        <v>93.7</v>
      </c>
      <c r="J8" s="1775"/>
      <c r="K8" s="1775"/>
      <c r="L8" s="1776"/>
      <c r="N8" s="1777" t="s">
        <v>224</v>
      </c>
      <c r="O8" s="1777"/>
      <c r="Q8" s="1262"/>
    </row>
    <row r="9" spans="1:19" s="1263" customFormat="1" ht="11.25" customHeight="1" thickBot="1" x14ac:dyDescent="0.25">
      <c r="A9" s="1261"/>
      <c r="B9" s="1279" t="s">
        <v>20</v>
      </c>
      <c r="C9" s="1778" t="s">
        <v>222</v>
      </c>
      <c r="D9" s="1778"/>
      <c r="E9" s="1779" t="s">
        <v>223</v>
      </c>
      <c r="F9" s="1779"/>
      <c r="G9" s="1779"/>
      <c r="H9" s="1780"/>
      <c r="I9" s="1781">
        <f>O3</f>
        <v>3509</v>
      </c>
      <c r="J9" s="1782"/>
      <c r="K9" s="1783"/>
      <c r="L9" s="1784"/>
      <c r="N9" s="1777"/>
      <c r="O9" s="1777"/>
      <c r="Q9" s="1262"/>
    </row>
    <row r="10" spans="1:19" s="1263" customFormat="1" ht="11.25" customHeight="1" x14ac:dyDescent="0.2">
      <c r="A10" s="1261"/>
      <c r="Q10" s="1262"/>
    </row>
    <row r="11" spans="1:19" s="1263" customFormat="1" ht="11.25" customHeight="1" x14ac:dyDescent="0.2">
      <c r="A11" s="1261"/>
      <c r="B11" s="1267"/>
      <c r="C11" s="1267"/>
      <c r="D11" s="1280">
        <f>C8</f>
        <v>100</v>
      </c>
      <c r="E11" s="1785" t="s">
        <v>3</v>
      </c>
      <c r="F11" s="1786">
        <f>E8</f>
        <v>6.3</v>
      </c>
      <c r="G11" s="1786"/>
      <c r="H11" s="1786"/>
      <c r="I11" s="1785" t="s">
        <v>3</v>
      </c>
      <c r="J11" s="1787">
        <f>I8</f>
        <v>93.7</v>
      </c>
      <c r="K11" s="1787"/>
      <c r="L11" s="1787"/>
      <c r="M11" s="1281"/>
      <c r="N11" s="1281"/>
      <c r="O11" s="1281"/>
      <c r="Q11" s="1262"/>
    </row>
    <row r="12" spans="1:19" s="1263" customFormat="1" ht="11.25" customHeight="1" x14ac:dyDescent="0.2">
      <c r="A12" s="1261"/>
      <c r="B12" s="1267"/>
      <c r="C12" s="1267"/>
      <c r="D12" s="1282" t="str">
        <f>C9</f>
        <v>V</v>
      </c>
      <c r="E12" s="1785"/>
      <c r="F12" s="1788" t="str">
        <f>E9</f>
        <v>A</v>
      </c>
      <c r="G12" s="1788"/>
      <c r="H12" s="1788"/>
      <c r="I12" s="1785"/>
      <c r="J12" s="1789">
        <f>I9</f>
        <v>3509</v>
      </c>
      <c r="K12" s="1789"/>
      <c r="L12" s="1789"/>
      <c r="M12" s="1281"/>
      <c r="N12" s="1283"/>
      <c r="O12" s="1283"/>
      <c r="Q12" s="1262"/>
    </row>
    <row r="13" spans="1:19" s="1263" customFormat="1" ht="11.25" customHeight="1" x14ac:dyDescent="0.2">
      <c r="A13" s="1261"/>
      <c r="B13" s="1284"/>
      <c r="C13" s="1285" t="s">
        <v>221</v>
      </c>
      <c r="D13" s="1286"/>
      <c r="E13" s="1286"/>
      <c r="F13" s="1287" t="s">
        <v>220</v>
      </c>
      <c r="G13" s="1287"/>
      <c r="H13" s="1277"/>
      <c r="O13" s="1267"/>
      <c r="P13" s="1267"/>
      <c r="Q13" s="1262"/>
    </row>
    <row r="14" spans="1:19" s="1263" customFormat="1" ht="11.25" customHeight="1" x14ac:dyDescent="0.2">
      <c r="A14" s="1261"/>
      <c r="B14" s="1288" t="s">
        <v>13</v>
      </c>
      <c r="C14" s="1790">
        <f>I8</f>
        <v>93.7</v>
      </c>
      <c r="D14" s="1787"/>
      <c r="E14" s="1785" t="s">
        <v>3</v>
      </c>
      <c r="F14" s="1786">
        <f>F11</f>
        <v>6.3</v>
      </c>
      <c r="G14" s="1786"/>
      <c r="H14" s="1792"/>
      <c r="I14" s="1793"/>
      <c r="Q14" s="1262"/>
    </row>
    <row r="15" spans="1:19" s="1263" customFormat="1" ht="11.25" customHeight="1" x14ac:dyDescent="0.2">
      <c r="A15" s="1261"/>
      <c r="B15" s="1289" t="s">
        <v>20</v>
      </c>
      <c r="C15" s="1795">
        <f>J12</f>
        <v>3509</v>
      </c>
      <c r="D15" s="1796"/>
      <c r="E15" s="1791"/>
      <c r="F15" s="1797" t="str">
        <f>F12</f>
        <v>A</v>
      </c>
      <c r="G15" s="1797"/>
      <c r="H15" s="1798"/>
      <c r="I15" s="1794"/>
      <c r="Q15" s="1262"/>
      <c r="S15" s="1290"/>
    </row>
    <row r="16" spans="1:19" s="1291" customFormat="1" ht="11.25" customHeight="1" x14ac:dyDescent="0.2">
      <c r="A16" s="1261"/>
      <c r="Q16" s="1262"/>
    </row>
    <row r="17" spans="1:17" s="1291" customFormat="1" ht="11.25" customHeight="1" x14ac:dyDescent="0.2">
      <c r="A17" s="1261"/>
      <c r="B17" s="1799">
        <f>C14</f>
        <v>93.7</v>
      </c>
      <c r="C17" s="1800"/>
      <c r="D17" s="1292" t="s">
        <v>22</v>
      </c>
      <c r="E17" s="1293" t="str">
        <f>F15</f>
        <v>A</v>
      </c>
      <c r="F17" s="1292" t="s">
        <v>3</v>
      </c>
      <c r="G17" s="1292"/>
      <c r="H17" s="1801">
        <f>C15</f>
        <v>3509</v>
      </c>
      <c r="I17" s="1801"/>
      <c r="J17" s="1801"/>
      <c r="K17" s="1294" t="s">
        <v>22</v>
      </c>
      <c r="L17" s="1802">
        <f>F14</f>
        <v>6.3</v>
      </c>
      <c r="M17" s="1802"/>
      <c r="N17" s="1803"/>
      <c r="Q17" s="1262"/>
    </row>
    <row r="18" spans="1:17" s="1291" customFormat="1" ht="11.25" customHeight="1" x14ac:dyDescent="0.2">
      <c r="A18" s="1261"/>
      <c r="B18" s="1804" t="str">
        <f>F15</f>
        <v>A</v>
      </c>
      <c r="C18" s="1806" t="s">
        <v>3</v>
      </c>
      <c r="D18" s="1807">
        <f>H17</f>
        <v>3509</v>
      </c>
      <c r="E18" s="1807"/>
      <c r="F18" s="1295" t="s">
        <v>22</v>
      </c>
      <c r="G18" s="1296"/>
      <c r="H18" s="1297">
        <f>F14</f>
        <v>6.3</v>
      </c>
      <c r="I18" s="1808" t="s">
        <v>3</v>
      </c>
      <c r="J18" s="1810">
        <f>D18*H18/D19</f>
        <v>235.93062966915687</v>
      </c>
      <c r="K18" s="1810"/>
      <c r="L18" s="1811"/>
      <c r="Q18" s="1262"/>
    </row>
    <row r="19" spans="1:17" s="1291" customFormat="1" ht="11.25" customHeight="1" x14ac:dyDescent="0.2">
      <c r="A19" s="1261"/>
      <c r="B19" s="1805"/>
      <c r="C19" s="1791"/>
      <c r="D19" s="1787">
        <f>B17</f>
        <v>93.7</v>
      </c>
      <c r="E19" s="1787"/>
      <c r="F19" s="1787"/>
      <c r="G19" s="1787"/>
      <c r="H19" s="1787"/>
      <c r="I19" s="1809"/>
      <c r="J19" s="1812"/>
      <c r="K19" s="1812"/>
      <c r="L19" s="1813"/>
      <c r="Q19" s="1262"/>
    </row>
    <row r="20" spans="1:17" s="1263" customFormat="1" ht="11.25" customHeight="1" x14ac:dyDescent="0.2">
      <c r="A20" s="1261"/>
      <c r="B20" s="1298"/>
      <c r="C20" s="1298"/>
      <c r="D20" s="1298"/>
      <c r="E20" s="1298"/>
      <c r="F20" s="1267"/>
      <c r="G20" s="1267"/>
      <c r="H20" s="1267"/>
      <c r="I20" s="1267"/>
      <c r="J20" s="1267"/>
      <c r="K20" s="1267"/>
      <c r="L20" s="1267"/>
      <c r="M20" s="1267"/>
      <c r="Q20" s="1262"/>
    </row>
    <row r="21" spans="1:17" s="1263" customFormat="1" ht="11.25" customHeight="1" x14ac:dyDescent="0.2">
      <c r="A21" s="1261"/>
      <c r="B21" s="1284"/>
      <c r="C21" s="1285" t="s">
        <v>221</v>
      </c>
      <c r="D21" s="1286"/>
      <c r="E21" s="1286"/>
      <c r="F21" s="1299" t="s">
        <v>236</v>
      </c>
      <c r="G21" s="1287"/>
      <c r="H21" s="1277"/>
      <c r="Q21" s="1262"/>
    </row>
    <row r="22" spans="1:17" s="1263" customFormat="1" ht="11.25" customHeight="1" x14ac:dyDescent="0.2">
      <c r="A22" s="1261"/>
      <c r="B22" s="1288" t="s">
        <v>13</v>
      </c>
      <c r="C22" s="1790">
        <f>C14</f>
        <v>93.7</v>
      </c>
      <c r="D22" s="1787"/>
      <c r="E22" s="1785" t="s">
        <v>3</v>
      </c>
      <c r="F22" s="1787">
        <f>C8</f>
        <v>100</v>
      </c>
      <c r="G22" s="1787"/>
      <c r="H22" s="1814"/>
      <c r="I22" s="1793"/>
      <c r="Q22" s="1262"/>
    </row>
    <row r="23" spans="1:17" s="1263" customFormat="1" ht="11.25" customHeight="1" x14ac:dyDescent="0.2">
      <c r="A23" s="1261"/>
      <c r="B23" s="1289" t="s">
        <v>20</v>
      </c>
      <c r="C23" s="1815">
        <f>C15</f>
        <v>3509</v>
      </c>
      <c r="D23" s="1816"/>
      <c r="E23" s="1791"/>
      <c r="F23" s="1817" t="s">
        <v>222</v>
      </c>
      <c r="G23" s="1817"/>
      <c r="H23" s="1818"/>
      <c r="I23" s="1794"/>
      <c r="Q23" s="1262"/>
    </row>
    <row r="24" spans="1:17" s="1263" customFormat="1" ht="11.25" customHeight="1" x14ac:dyDescent="0.2">
      <c r="A24" s="1261"/>
      <c r="B24" s="1291"/>
      <c r="C24" s="1291"/>
      <c r="D24" s="1291"/>
      <c r="E24" s="1291"/>
      <c r="F24" s="1291"/>
      <c r="G24" s="1291"/>
      <c r="H24" s="1291"/>
      <c r="I24" s="1291"/>
      <c r="J24" s="1291"/>
      <c r="K24" s="1291"/>
      <c r="L24" s="1291"/>
      <c r="M24" s="1291"/>
      <c r="N24" s="1291"/>
      <c r="Q24" s="1262"/>
    </row>
    <row r="25" spans="1:17" s="1263" customFormat="1" ht="11.25" customHeight="1" x14ac:dyDescent="0.2">
      <c r="A25" s="1261"/>
      <c r="B25" s="1799">
        <f>C22</f>
        <v>93.7</v>
      </c>
      <c r="C25" s="1800"/>
      <c r="D25" s="1292" t="s">
        <v>22</v>
      </c>
      <c r="E25" s="1293" t="str">
        <f>F23</f>
        <v>V</v>
      </c>
      <c r="F25" s="1292" t="s">
        <v>3</v>
      </c>
      <c r="G25" s="1292"/>
      <c r="H25" s="1801">
        <f>C23</f>
        <v>3509</v>
      </c>
      <c r="I25" s="1801"/>
      <c r="J25" s="1801"/>
      <c r="K25" s="1294" t="s">
        <v>22</v>
      </c>
      <c r="L25" s="1802">
        <f>F22</f>
        <v>100</v>
      </c>
      <c r="M25" s="1802"/>
      <c r="N25" s="1803"/>
      <c r="Q25" s="1262"/>
    </row>
    <row r="26" spans="1:17" s="1263" customFormat="1" ht="11.25" customHeight="1" x14ac:dyDescent="0.2">
      <c r="A26" s="1261"/>
      <c r="B26" s="1804" t="str">
        <f>F23</f>
        <v>V</v>
      </c>
      <c r="C26" s="1806" t="s">
        <v>3</v>
      </c>
      <c r="D26" s="1807">
        <f>H25</f>
        <v>3509</v>
      </c>
      <c r="E26" s="1807"/>
      <c r="F26" s="1295" t="s">
        <v>22</v>
      </c>
      <c r="G26" s="1296"/>
      <c r="H26" s="1297">
        <f>F22</f>
        <v>100</v>
      </c>
      <c r="I26" s="1808" t="s">
        <v>3</v>
      </c>
      <c r="J26" s="1810">
        <f>D26*H26/D27</f>
        <v>3744.9306296691566</v>
      </c>
      <c r="K26" s="1810"/>
      <c r="L26" s="1811"/>
      <c r="M26" s="1291"/>
      <c r="N26" s="1291"/>
      <c r="Q26" s="1262"/>
    </row>
    <row r="27" spans="1:17" s="1263" customFormat="1" ht="11.25" customHeight="1" x14ac:dyDescent="0.2">
      <c r="A27" s="1261"/>
      <c r="B27" s="1805"/>
      <c r="C27" s="1791"/>
      <c r="D27" s="1787">
        <f>B25</f>
        <v>93.7</v>
      </c>
      <c r="E27" s="1787"/>
      <c r="F27" s="1787"/>
      <c r="G27" s="1787"/>
      <c r="H27" s="1787"/>
      <c r="I27" s="1809"/>
      <c r="J27" s="1812"/>
      <c r="K27" s="1812"/>
      <c r="L27" s="1813"/>
      <c r="M27" s="1291"/>
      <c r="N27" s="1291"/>
      <c r="Q27" s="1262"/>
    </row>
    <row r="28" spans="1:17" s="1263" customFormat="1" ht="11.25" customHeight="1" x14ac:dyDescent="0.2">
      <c r="A28" s="1261"/>
      <c r="B28" s="1298"/>
      <c r="C28" s="1300"/>
      <c r="D28" s="1301"/>
      <c r="E28" s="1298"/>
      <c r="F28" s="1298"/>
      <c r="G28" s="1298"/>
      <c r="H28" s="1298"/>
      <c r="I28" s="1302"/>
      <c r="J28" s="1303"/>
      <c r="K28" s="1303"/>
      <c r="L28" s="1303"/>
      <c r="M28" s="1267"/>
      <c r="Q28" s="1262"/>
    </row>
    <row r="29" spans="1:17" s="1263" customFormat="1" ht="11.25" customHeight="1" x14ac:dyDescent="0.2">
      <c r="A29" s="1261"/>
      <c r="B29" s="1298" t="s">
        <v>356</v>
      </c>
      <c r="C29" s="1298"/>
      <c r="D29" s="1298"/>
      <c r="E29" s="1298"/>
      <c r="F29" s="1267"/>
      <c r="G29" s="1267"/>
      <c r="H29" s="1819">
        <f>J18</f>
        <v>235.93062966915687</v>
      </c>
      <c r="I29" s="1820"/>
      <c r="J29" s="1821"/>
      <c r="K29" s="1263" t="s">
        <v>230</v>
      </c>
      <c r="L29" s="1267"/>
      <c r="M29" s="1267"/>
      <c r="Q29" s="1262"/>
    </row>
    <row r="30" spans="1:17" s="1263" customFormat="1" ht="11.25" customHeight="1" x14ac:dyDescent="0.2">
      <c r="A30" s="1261"/>
      <c r="B30" s="1267" t="s">
        <v>357</v>
      </c>
      <c r="C30" s="1267"/>
      <c r="D30" s="1267"/>
      <c r="E30" s="1267"/>
      <c r="F30" s="1267"/>
      <c r="H30" s="1819">
        <f>J26</f>
        <v>3744.9306296691566</v>
      </c>
      <c r="I30" s="1820"/>
      <c r="J30" s="1821"/>
      <c r="K30" s="1298"/>
      <c r="L30" s="1298"/>
      <c r="M30" s="1267"/>
      <c r="Q30" s="1262"/>
    </row>
    <row r="31" spans="1:17" s="1263" customFormat="1" ht="11.25" customHeight="1" x14ac:dyDescent="0.2">
      <c r="A31" s="1261"/>
      <c r="B31" s="1267"/>
      <c r="C31" s="1267"/>
      <c r="D31" s="1267"/>
      <c r="E31" s="1267" t="s">
        <v>221</v>
      </c>
      <c r="F31" s="1267"/>
      <c r="G31" s="1267"/>
      <c r="H31" s="1822">
        <f>-H29+H30</f>
        <v>3508.9999999999995</v>
      </c>
      <c r="I31" s="1823"/>
      <c r="J31" s="1823"/>
      <c r="K31" s="1823"/>
      <c r="L31" s="1823"/>
      <c r="M31" s="1267"/>
      <c r="Q31" s="1262"/>
    </row>
    <row r="32" spans="1:17" s="1263" customFormat="1" ht="11.25" customHeight="1" x14ac:dyDescent="0.2">
      <c r="A32" s="1261"/>
      <c r="B32" s="1267"/>
      <c r="C32" s="1267"/>
      <c r="D32" s="1267"/>
      <c r="E32" s="1267"/>
      <c r="F32" s="1267"/>
      <c r="G32" s="1267"/>
      <c r="H32" s="1267"/>
      <c r="I32" s="1267"/>
      <c r="J32" s="1267"/>
      <c r="K32" s="1267"/>
      <c r="L32" s="1267"/>
      <c r="M32" s="1267"/>
      <c r="Q32" s="1262"/>
    </row>
    <row r="33" spans="1:17" s="1263" customFormat="1" ht="11.25" customHeight="1" x14ac:dyDescent="0.2">
      <c r="A33" s="1261"/>
      <c r="B33" s="1261"/>
      <c r="C33" s="1261"/>
      <c r="D33" s="1261"/>
      <c r="E33" s="1261"/>
      <c r="F33" s="1261"/>
      <c r="G33" s="1261"/>
      <c r="H33" s="1261"/>
      <c r="I33" s="1261"/>
      <c r="J33" s="1261"/>
      <c r="K33" s="1261"/>
      <c r="L33" s="1261"/>
      <c r="M33" s="1261"/>
      <c r="N33" s="1261"/>
      <c r="O33" s="1261"/>
      <c r="P33" s="1261"/>
      <c r="Q33" s="1262"/>
    </row>
    <row r="34" spans="1:17" s="1263" customFormat="1" ht="11.25" customHeight="1" x14ac:dyDescent="0.2">
      <c r="A34" s="1266"/>
      <c r="C34" s="1267"/>
    </row>
    <row r="35" spans="1:17" s="1263" customFormat="1" ht="11.25" customHeight="1" x14ac:dyDescent="0.2">
      <c r="A35" s="1266"/>
      <c r="C35" s="1267"/>
    </row>
    <row r="36" spans="1:17" s="1263" customFormat="1" ht="11.25" customHeight="1" x14ac:dyDescent="0.2">
      <c r="A36" s="1266"/>
      <c r="C36" s="1267"/>
    </row>
    <row r="37" spans="1:17" s="1263" customFormat="1" ht="11.25" customHeight="1" x14ac:dyDescent="0.2">
      <c r="A37" s="1266"/>
      <c r="C37" s="1267"/>
    </row>
    <row r="38" spans="1:17" s="1263" customFormat="1" ht="11.25" customHeight="1" x14ac:dyDescent="0.2">
      <c r="A38" s="1266"/>
      <c r="C38" s="1267"/>
    </row>
    <row r="39" spans="1:17" s="1263" customFormat="1" ht="11.25" customHeight="1" x14ac:dyDescent="0.2">
      <c r="A39" s="1266"/>
      <c r="C39" s="1267"/>
    </row>
    <row r="40" spans="1:17" s="1263" customFormat="1" ht="11.25" customHeight="1" x14ac:dyDescent="0.2">
      <c r="A40" s="1266"/>
      <c r="C40" s="1267"/>
    </row>
    <row r="41" spans="1:17" s="1263" customFormat="1" ht="11.25" customHeight="1" x14ac:dyDescent="0.2">
      <c r="A41" s="1266"/>
      <c r="C41" s="1267"/>
    </row>
    <row r="42" spans="1:17" s="1263" customFormat="1" ht="11.25" customHeight="1" x14ac:dyDescent="0.2">
      <c r="A42" s="1266"/>
      <c r="C42" s="1267"/>
    </row>
    <row r="43" spans="1:17" s="1263" customFormat="1" ht="11.25" customHeight="1" x14ac:dyDescent="0.2">
      <c r="A43" s="1266"/>
      <c r="C43" s="1267"/>
    </row>
    <row r="44" spans="1:17" s="1263" customFormat="1" ht="11.25" customHeight="1" x14ac:dyDescent="0.2">
      <c r="A44" s="1266"/>
      <c r="C44" s="1267"/>
    </row>
    <row r="45" spans="1:17" s="1263" customFormat="1" ht="11.25" customHeight="1" x14ac:dyDescent="0.2">
      <c r="A45" s="1266"/>
      <c r="C45" s="1267"/>
    </row>
    <row r="46" spans="1:17" s="1263" customFormat="1" ht="11.25" customHeight="1" x14ac:dyDescent="0.2">
      <c r="A46" s="1266"/>
      <c r="C46" s="1267"/>
    </row>
    <row r="47" spans="1:17" s="1263" customFormat="1" ht="11.25" customHeight="1" x14ac:dyDescent="0.2">
      <c r="A47" s="1266"/>
      <c r="C47" s="1267"/>
    </row>
    <row r="48" spans="1:17" s="1263" customFormat="1" ht="11.25" customHeight="1" x14ac:dyDescent="0.2">
      <c r="A48" s="1266"/>
      <c r="C48" s="1267"/>
    </row>
    <row r="49" spans="1:3" s="1263" customFormat="1" ht="11.25" customHeight="1" x14ac:dyDescent="0.2">
      <c r="A49" s="1266"/>
      <c r="C49" s="1267"/>
    </row>
    <row r="50" spans="1:3" s="1263" customFormat="1" ht="11.25" customHeight="1" x14ac:dyDescent="0.2">
      <c r="A50" s="1266"/>
      <c r="C50" s="1267"/>
    </row>
    <row r="51" spans="1:3" s="1263" customFormat="1" ht="11.25" customHeight="1" x14ac:dyDescent="0.2">
      <c r="A51" s="1266"/>
      <c r="C51" s="1267"/>
    </row>
    <row r="52" spans="1:3" s="1263" customFormat="1" ht="11.25" customHeight="1" x14ac:dyDescent="0.2">
      <c r="A52" s="1266"/>
      <c r="C52" s="1267"/>
    </row>
    <row r="53" spans="1:3" s="1263" customFormat="1" ht="11.25" customHeight="1" x14ac:dyDescent="0.2">
      <c r="A53" s="1266"/>
      <c r="C53" s="1267"/>
    </row>
    <row r="54" spans="1:3" s="1263" customFormat="1" ht="11.25" customHeight="1" x14ac:dyDescent="0.2">
      <c r="A54" s="1266"/>
      <c r="C54" s="1267"/>
    </row>
    <row r="55" spans="1:3" s="1263" customFormat="1" ht="11.25" customHeight="1" x14ac:dyDescent="0.2">
      <c r="A55" s="1266"/>
      <c r="C55" s="1267"/>
    </row>
    <row r="56" spans="1:3" s="1263" customFormat="1" ht="11.25" customHeight="1" x14ac:dyDescent="0.2">
      <c r="A56" s="1266"/>
      <c r="C56" s="1267"/>
    </row>
    <row r="57" spans="1:3" s="1263" customFormat="1" ht="11.25" customHeight="1" x14ac:dyDescent="0.2">
      <c r="A57" s="1266"/>
      <c r="C57" s="1267"/>
    </row>
    <row r="58" spans="1:3" s="1263" customFormat="1" ht="11.25" customHeight="1" x14ac:dyDescent="0.2">
      <c r="A58" s="1266"/>
      <c r="C58" s="1267"/>
    </row>
    <row r="59" spans="1:3" s="1263" customFormat="1" ht="11.25" customHeight="1" x14ac:dyDescent="0.2">
      <c r="A59" s="1266"/>
      <c r="C59" s="1267"/>
    </row>
    <row r="60" spans="1:3" s="1263" customFormat="1" ht="11.25" customHeight="1" x14ac:dyDescent="0.2">
      <c r="A60" s="1266"/>
      <c r="C60" s="1267"/>
    </row>
    <row r="61" spans="1:3" s="1263" customFormat="1" ht="11.25" customHeight="1" x14ac:dyDescent="0.2">
      <c r="A61" s="1266"/>
      <c r="C61" s="1267"/>
    </row>
    <row r="62" spans="1:3" s="1263" customFormat="1" ht="11.25" customHeight="1" x14ac:dyDescent="0.2">
      <c r="A62" s="1266"/>
      <c r="C62" s="1267"/>
    </row>
    <row r="63" spans="1:3" s="1263" customFormat="1" ht="11.25" customHeight="1" x14ac:dyDescent="0.2">
      <c r="A63" s="1266"/>
      <c r="C63" s="1267"/>
    </row>
    <row r="64" spans="1:3" s="1263" customFormat="1" ht="11.25" customHeight="1" x14ac:dyDescent="0.2">
      <c r="A64" s="1266"/>
      <c r="C64" s="1267"/>
    </row>
    <row r="65" spans="1:3" s="1263" customFormat="1" ht="11.25" customHeight="1" x14ac:dyDescent="0.2">
      <c r="A65" s="1266"/>
      <c r="C65" s="1267"/>
    </row>
    <row r="66" spans="1:3" s="1263" customFormat="1" ht="11.25" customHeight="1" x14ac:dyDescent="0.2">
      <c r="A66" s="1266"/>
      <c r="C66" s="1267"/>
    </row>
    <row r="67" spans="1:3" s="1263" customFormat="1" ht="11.25" customHeight="1" x14ac:dyDescent="0.2">
      <c r="A67" s="1266"/>
      <c r="C67" s="1267"/>
    </row>
    <row r="68" spans="1:3" s="1263" customFormat="1" ht="11.25" customHeight="1" x14ac:dyDescent="0.2">
      <c r="A68" s="1266"/>
      <c r="C68" s="1267"/>
    </row>
    <row r="69" spans="1:3" s="1263" customFormat="1" ht="11.25" customHeight="1" x14ac:dyDescent="0.2">
      <c r="A69" s="1266"/>
      <c r="C69" s="1267"/>
    </row>
    <row r="70" spans="1:3" s="1263" customFormat="1" ht="11.25" customHeight="1" x14ac:dyDescent="0.2">
      <c r="A70" s="1266"/>
      <c r="C70" s="1267"/>
    </row>
    <row r="71" spans="1:3" s="1263" customFormat="1" ht="11.25" customHeight="1" x14ac:dyDescent="0.2">
      <c r="A71" s="1266"/>
      <c r="C71" s="1267"/>
    </row>
    <row r="72" spans="1:3" s="1263" customFormat="1" ht="11.25" customHeight="1" x14ac:dyDescent="0.2">
      <c r="A72" s="1266"/>
      <c r="C72" s="1267"/>
    </row>
    <row r="73" spans="1:3" s="1263" customFormat="1" ht="11.25" customHeight="1" x14ac:dyDescent="0.2">
      <c r="A73" s="1266"/>
      <c r="C73" s="1267"/>
    </row>
    <row r="74" spans="1:3" s="1263" customFormat="1" ht="11.25" customHeight="1" x14ac:dyDescent="0.2">
      <c r="A74" s="1266"/>
      <c r="C74" s="1267"/>
    </row>
    <row r="75" spans="1:3" s="1263" customFormat="1" ht="11.25" customHeight="1" x14ac:dyDescent="0.2">
      <c r="A75" s="1266"/>
      <c r="C75" s="1267"/>
    </row>
    <row r="76" spans="1:3" s="1263" customFormat="1" ht="11.25" customHeight="1" x14ac:dyDescent="0.2">
      <c r="A76" s="1266"/>
      <c r="C76" s="1267"/>
    </row>
    <row r="77" spans="1:3" s="1263" customFormat="1" ht="11.25" customHeight="1" x14ac:dyDescent="0.2">
      <c r="A77" s="1266"/>
      <c r="C77" s="1267"/>
    </row>
    <row r="78" spans="1:3" s="1263" customFormat="1" ht="11.25" customHeight="1" x14ac:dyDescent="0.2">
      <c r="A78" s="1266"/>
      <c r="C78" s="1267"/>
    </row>
    <row r="79" spans="1:3" s="1263" customFormat="1" ht="11.25" customHeight="1" x14ac:dyDescent="0.2">
      <c r="A79" s="1266"/>
      <c r="C79" s="1267"/>
    </row>
    <row r="80" spans="1:3" s="1263" customFormat="1" ht="11.25" customHeight="1" x14ac:dyDescent="0.2">
      <c r="A80" s="1266"/>
      <c r="C80" s="1267"/>
    </row>
    <row r="81" spans="1:3" s="1263" customFormat="1" ht="11.25" customHeight="1" x14ac:dyDescent="0.2">
      <c r="A81" s="1266"/>
      <c r="C81" s="1267"/>
    </row>
    <row r="82" spans="1:3" s="1263" customFormat="1" ht="11.25" customHeight="1" x14ac:dyDescent="0.2">
      <c r="A82" s="1266"/>
      <c r="C82" s="1267"/>
    </row>
    <row r="83" spans="1:3" s="1263" customFormat="1" ht="11.25" customHeight="1" x14ac:dyDescent="0.2">
      <c r="A83" s="1266"/>
      <c r="C83" s="1267"/>
    </row>
    <row r="84" spans="1:3" s="1263" customFormat="1" ht="11.25" customHeight="1" x14ac:dyDescent="0.2">
      <c r="A84" s="1266"/>
      <c r="C84" s="1267"/>
    </row>
    <row r="85" spans="1:3" s="1263" customFormat="1" ht="11.25" customHeight="1" x14ac:dyDescent="0.2">
      <c r="A85" s="1266"/>
      <c r="C85" s="1267"/>
    </row>
    <row r="86" spans="1:3" s="1263" customFormat="1" ht="11.25" customHeight="1" x14ac:dyDescent="0.2">
      <c r="A86" s="1266"/>
      <c r="C86" s="1267"/>
    </row>
    <row r="87" spans="1:3" s="1263" customFormat="1" ht="11.25" customHeight="1" x14ac:dyDescent="0.2">
      <c r="A87" s="1266"/>
      <c r="C87" s="1267"/>
    </row>
    <row r="88" spans="1:3" s="1263" customFormat="1" ht="11.25" customHeight="1" x14ac:dyDescent="0.2">
      <c r="A88" s="1266"/>
      <c r="C88" s="1267"/>
    </row>
    <row r="89" spans="1:3" s="1263" customFormat="1" ht="11.25" customHeight="1" x14ac:dyDescent="0.2">
      <c r="A89" s="1266"/>
      <c r="C89" s="1267"/>
    </row>
    <row r="90" spans="1:3" s="1263" customFormat="1" ht="11.25" customHeight="1" x14ac:dyDescent="0.2">
      <c r="A90" s="1266"/>
      <c r="C90" s="1267"/>
    </row>
    <row r="91" spans="1:3" s="1263" customFormat="1" ht="11.25" customHeight="1" x14ac:dyDescent="0.2">
      <c r="A91" s="1266"/>
      <c r="C91" s="1267"/>
    </row>
    <row r="92" spans="1:3" s="1263" customFormat="1" ht="11.25" customHeight="1" x14ac:dyDescent="0.2">
      <c r="A92" s="1266"/>
      <c r="C92" s="1267"/>
    </row>
    <row r="93" spans="1:3" s="1263" customFormat="1" ht="11.25" customHeight="1" x14ac:dyDescent="0.2">
      <c r="A93" s="1266"/>
      <c r="C93" s="1267"/>
    </row>
    <row r="94" spans="1:3" s="1263" customFormat="1" ht="11.25" customHeight="1" x14ac:dyDescent="0.2">
      <c r="A94" s="1266"/>
      <c r="C94" s="1267"/>
    </row>
    <row r="95" spans="1:3" s="1263" customFormat="1" ht="11.25" customHeight="1" x14ac:dyDescent="0.2">
      <c r="A95" s="1266"/>
      <c r="C95" s="1267"/>
    </row>
    <row r="96" spans="1:3" s="1263" customFormat="1" ht="11.25" customHeight="1" x14ac:dyDescent="0.2">
      <c r="A96" s="1266"/>
      <c r="C96" s="1267"/>
    </row>
    <row r="97" spans="1:3" s="1263" customFormat="1" ht="11.25" customHeight="1" x14ac:dyDescent="0.2">
      <c r="A97" s="1266"/>
      <c r="C97" s="1267"/>
    </row>
    <row r="98" spans="1:3" s="1263" customFormat="1" ht="11.25" customHeight="1" x14ac:dyDescent="0.2">
      <c r="A98" s="1266"/>
      <c r="C98" s="1267"/>
    </row>
    <row r="99" spans="1:3" s="1263" customFormat="1" ht="11.25" customHeight="1" x14ac:dyDescent="0.2">
      <c r="A99" s="1266"/>
      <c r="C99" s="1267"/>
    </row>
    <row r="100" spans="1:3" s="1263" customFormat="1" ht="11.25" customHeight="1" x14ac:dyDescent="0.2">
      <c r="A100" s="1266"/>
      <c r="C100" s="1267"/>
    </row>
    <row r="101" spans="1:3" s="1263" customFormat="1" ht="11.25" customHeight="1" x14ac:dyDescent="0.2">
      <c r="A101" s="1266"/>
      <c r="C101" s="1267"/>
    </row>
    <row r="102" spans="1:3" s="1263" customFormat="1" ht="11.25" customHeight="1" x14ac:dyDescent="0.2">
      <c r="A102" s="1266"/>
      <c r="C102" s="1267"/>
    </row>
    <row r="103" spans="1:3" s="1263" customFormat="1" ht="11.25" customHeight="1" x14ac:dyDescent="0.2">
      <c r="A103" s="1266"/>
      <c r="C103" s="1267"/>
    </row>
    <row r="104" spans="1:3" s="1263" customFormat="1" ht="11.25" customHeight="1" x14ac:dyDescent="0.2">
      <c r="A104" s="1266"/>
      <c r="C104" s="1267"/>
    </row>
    <row r="105" spans="1:3" s="1263" customFormat="1" ht="11.25" customHeight="1" x14ac:dyDescent="0.2">
      <c r="A105" s="1266"/>
      <c r="C105" s="1267"/>
    </row>
    <row r="106" spans="1:3" s="1263" customFormat="1" ht="11.25" customHeight="1" x14ac:dyDescent="0.2">
      <c r="A106" s="1266"/>
      <c r="C106" s="1267"/>
    </row>
    <row r="107" spans="1:3" s="1263" customFormat="1" ht="11.25" customHeight="1" x14ac:dyDescent="0.2">
      <c r="A107" s="1266"/>
      <c r="C107" s="1267"/>
    </row>
    <row r="108" spans="1:3" s="1263" customFormat="1" ht="11.25" customHeight="1" x14ac:dyDescent="0.2">
      <c r="A108" s="1266"/>
      <c r="C108" s="1267"/>
    </row>
    <row r="109" spans="1:3" s="1263" customFormat="1" ht="11.25" customHeight="1" x14ac:dyDescent="0.2">
      <c r="A109" s="1266"/>
      <c r="C109" s="1267"/>
    </row>
    <row r="110" spans="1:3" s="1263" customFormat="1" ht="11.25" customHeight="1" x14ac:dyDescent="0.2">
      <c r="A110" s="1266"/>
      <c r="C110" s="1267"/>
    </row>
    <row r="111" spans="1:3" s="1263" customFormat="1" ht="11.25" customHeight="1" x14ac:dyDescent="0.2">
      <c r="A111" s="1266"/>
      <c r="C111" s="1267"/>
    </row>
    <row r="112" spans="1:3" s="1263" customFormat="1" ht="11.25" customHeight="1" x14ac:dyDescent="0.2">
      <c r="A112" s="1266"/>
      <c r="C112" s="1267"/>
    </row>
    <row r="113" spans="1:20" ht="11.25" customHeight="1" x14ac:dyDescent="0.2">
      <c r="A113" s="1266"/>
      <c r="T113" s="1263"/>
    </row>
    <row r="114" spans="1:20" ht="11.25" customHeight="1" x14ac:dyDescent="0.2">
      <c r="A114" s="1266"/>
      <c r="T114" s="1263"/>
    </row>
    <row r="115" spans="1:20" ht="11.25" customHeight="1" x14ac:dyDescent="0.2">
      <c r="A115" s="1266"/>
      <c r="T115" s="1263"/>
    </row>
    <row r="116" spans="1:20" ht="11.25" customHeight="1" x14ac:dyDescent="0.2">
      <c r="A116" s="1266"/>
      <c r="T116" s="1263"/>
    </row>
    <row r="117" spans="1:20" ht="11.25" customHeight="1" x14ac:dyDescent="0.2">
      <c r="A117" s="1266"/>
      <c r="T117" s="1263"/>
    </row>
    <row r="118" spans="1:20" ht="11.25" customHeight="1" x14ac:dyDescent="0.2">
      <c r="A118" s="1266"/>
    </row>
    <row r="119" spans="1:20" ht="11.25" customHeight="1" x14ac:dyDescent="0.2">
      <c r="A119" s="1266"/>
    </row>
    <row r="120" spans="1:20" ht="11.25" customHeight="1" x14ac:dyDescent="0.2">
      <c r="A120" s="1266"/>
    </row>
    <row r="121" spans="1:20" ht="11.25" customHeight="1" x14ac:dyDescent="0.2">
      <c r="A121" s="1266"/>
    </row>
    <row r="122" spans="1:20" ht="11.25" customHeight="1" x14ac:dyDescent="0.2">
      <c r="A122" s="1266"/>
    </row>
    <row r="123" spans="1:20" ht="11.25" customHeight="1" x14ac:dyDescent="0.2">
      <c r="A123" s="1266"/>
    </row>
    <row r="124" spans="1:20" ht="11.25" customHeight="1" x14ac:dyDescent="0.2">
      <c r="A124" s="1266"/>
    </row>
    <row r="125" spans="1:20" ht="11.25" customHeight="1" x14ac:dyDescent="0.2">
      <c r="A125" s="1266"/>
    </row>
    <row r="126" spans="1:20" ht="11.25" customHeight="1" x14ac:dyDescent="0.2">
      <c r="A126" s="1266"/>
    </row>
    <row r="127" spans="1:20" ht="11.25" customHeight="1" x14ac:dyDescent="0.2">
      <c r="A127" s="1266"/>
    </row>
    <row r="128" spans="1:20" ht="11.25" customHeight="1" x14ac:dyDescent="0.2">
      <c r="A128" s="1266"/>
    </row>
    <row r="129" spans="1:1" ht="11.25" customHeight="1" x14ac:dyDescent="0.2">
      <c r="A129" s="1266"/>
    </row>
    <row r="130" spans="1:1" ht="11.25" customHeight="1" x14ac:dyDescent="0.2">
      <c r="A130" s="1266"/>
    </row>
    <row r="131" spans="1:1" ht="11.25" customHeight="1" x14ac:dyDescent="0.2">
      <c r="A131" s="1266"/>
    </row>
    <row r="132" spans="1:1" ht="11.25" customHeight="1" x14ac:dyDescent="0.2">
      <c r="A132" s="1266"/>
    </row>
    <row r="133" spans="1:1" ht="11.25" customHeight="1" x14ac:dyDescent="0.2">
      <c r="A133" s="1266"/>
    </row>
    <row r="134" spans="1:1" ht="11.25" customHeight="1" x14ac:dyDescent="0.2">
      <c r="A134" s="1266"/>
    </row>
    <row r="135" spans="1:1" ht="11.25" customHeight="1" x14ac:dyDescent="0.2">
      <c r="A135" s="1266"/>
    </row>
    <row r="136" spans="1:1" ht="11.25" customHeight="1" x14ac:dyDescent="0.2">
      <c r="A136" s="1266"/>
    </row>
    <row r="137" spans="1:1" ht="11.25" customHeight="1" x14ac:dyDescent="0.2">
      <c r="A137" s="1266"/>
    </row>
    <row r="138" spans="1:1" ht="11.25" customHeight="1" x14ac:dyDescent="0.2">
      <c r="A138" s="1266"/>
    </row>
    <row r="139" spans="1:1" ht="11.25" customHeight="1" x14ac:dyDescent="0.2">
      <c r="A139" s="1266"/>
    </row>
    <row r="140" spans="1:1" ht="11.25" customHeight="1" x14ac:dyDescent="0.2">
      <c r="A140" s="1266"/>
    </row>
    <row r="141" spans="1:1" ht="11.25" customHeight="1" x14ac:dyDescent="0.2">
      <c r="A141" s="1266"/>
    </row>
    <row r="142" spans="1:1" ht="11.25" customHeight="1" x14ac:dyDescent="0.2">
      <c r="A142" s="1266"/>
    </row>
    <row r="143" spans="1:1" ht="11.25" customHeight="1" x14ac:dyDescent="0.2">
      <c r="A143" s="1266"/>
    </row>
    <row r="144" spans="1:1" ht="11.25" customHeight="1" x14ac:dyDescent="0.2">
      <c r="A144" s="1266"/>
    </row>
    <row r="145" spans="1:1" ht="11.25" customHeight="1" x14ac:dyDescent="0.2">
      <c r="A145" s="1266"/>
    </row>
    <row r="146" spans="1:1" ht="11.25" customHeight="1" x14ac:dyDescent="0.2">
      <c r="A146" s="1266"/>
    </row>
    <row r="147" spans="1:1" ht="11.25" customHeight="1" x14ac:dyDescent="0.2">
      <c r="A147" s="1266"/>
    </row>
    <row r="148" spans="1:1" ht="11.25" customHeight="1" x14ac:dyDescent="0.2">
      <c r="A148" s="1266"/>
    </row>
    <row r="149" spans="1:1" ht="11.25" customHeight="1" x14ac:dyDescent="0.2">
      <c r="A149" s="1266"/>
    </row>
    <row r="150" spans="1:1" ht="11.25" customHeight="1" x14ac:dyDescent="0.2">
      <c r="A150" s="1266"/>
    </row>
    <row r="151" spans="1:1" ht="11.25" customHeight="1" x14ac:dyDescent="0.2">
      <c r="A151" s="1266"/>
    </row>
    <row r="152" spans="1:1" ht="11.25" customHeight="1" x14ac:dyDescent="0.2">
      <c r="A152" s="1266"/>
    </row>
    <row r="153" spans="1:1" ht="11.25" customHeight="1" x14ac:dyDescent="0.2">
      <c r="A153" s="1266"/>
    </row>
    <row r="154" spans="1:1" ht="11.25" customHeight="1" x14ac:dyDescent="0.2">
      <c r="A154" s="1266"/>
    </row>
    <row r="155" spans="1:1" ht="11.25" customHeight="1" x14ac:dyDescent="0.2">
      <c r="A155" s="1266"/>
    </row>
    <row r="156" spans="1:1" ht="11.25" customHeight="1" x14ac:dyDescent="0.2">
      <c r="A156" s="1266"/>
    </row>
    <row r="157" spans="1:1" ht="11.25" customHeight="1" x14ac:dyDescent="0.2">
      <c r="A157" s="1266"/>
    </row>
    <row r="158" spans="1:1" ht="11.25" customHeight="1" x14ac:dyDescent="0.2">
      <c r="A158" s="1266"/>
    </row>
    <row r="159" spans="1:1" ht="11.25" customHeight="1" x14ac:dyDescent="0.2">
      <c r="A159" s="1266"/>
    </row>
    <row r="160" spans="1:1" ht="11.25" customHeight="1" x14ac:dyDescent="0.2">
      <c r="A160" s="1266"/>
    </row>
    <row r="161" spans="1:1" ht="11.25" customHeight="1" x14ac:dyDescent="0.2">
      <c r="A161" s="1266"/>
    </row>
    <row r="162" spans="1:1" ht="11.25" customHeight="1" x14ac:dyDescent="0.2">
      <c r="A162" s="1266"/>
    </row>
    <row r="163" spans="1:1" ht="11.25" customHeight="1" x14ac:dyDescent="0.2">
      <c r="A163" s="1266"/>
    </row>
    <row r="164" spans="1:1" ht="11.25" customHeight="1" x14ac:dyDescent="0.2">
      <c r="A164" s="1266"/>
    </row>
    <row r="165" spans="1:1" ht="11.25" customHeight="1" x14ac:dyDescent="0.2">
      <c r="A165" s="1266"/>
    </row>
    <row r="166" spans="1:1" ht="11.25" customHeight="1" x14ac:dyDescent="0.2">
      <c r="A166" s="1266"/>
    </row>
    <row r="167" spans="1:1" ht="11.25" customHeight="1" x14ac:dyDescent="0.2">
      <c r="A167" s="1266"/>
    </row>
    <row r="168" spans="1:1" ht="11.25" customHeight="1" x14ac:dyDescent="0.2">
      <c r="A168" s="1266"/>
    </row>
    <row r="169" spans="1:1" ht="11.25" customHeight="1" x14ac:dyDescent="0.2">
      <c r="A169" s="1266"/>
    </row>
    <row r="170" spans="1:1" ht="11.25" customHeight="1" x14ac:dyDescent="0.2">
      <c r="A170" s="1266"/>
    </row>
    <row r="171" spans="1:1" ht="11.25" customHeight="1" x14ac:dyDescent="0.2">
      <c r="A171" s="1266"/>
    </row>
    <row r="172" spans="1:1" ht="11.25" customHeight="1" x14ac:dyDescent="0.2">
      <c r="A172" s="1266"/>
    </row>
    <row r="173" spans="1:1" ht="11.25" customHeight="1" x14ac:dyDescent="0.2">
      <c r="A173" s="1266"/>
    </row>
    <row r="174" spans="1:1" ht="11.25" customHeight="1" x14ac:dyDescent="0.2">
      <c r="A174" s="1266"/>
    </row>
    <row r="175" spans="1:1" ht="11.25" customHeight="1" x14ac:dyDescent="0.2">
      <c r="A175" s="1266"/>
    </row>
    <row r="176" spans="1:1" ht="11.25" customHeight="1" x14ac:dyDescent="0.2">
      <c r="A176" s="1266"/>
    </row>
    <row r="177" spans="1:1" ht="11.25" customHeight="1" x14ac:dyDescent="0.2">
      <c r="A177" s="1266"/>
    </row>
  </sheetData>
  <mergeCells count="46">
    <mergeCell ref="H29:J29"/>
    <mergeCell ref="H30:J30"/>
    <mergeCell ref="H31:L31"/>
    <mergeCell ref="B25:C25"/>
    <mergeCell ref="H25:J25"/>
    <mergeCell ref="L25:N25"/>
    <mergeCell ref="B26:B27"/>
    <mergeCell ref="C26:C27"/>
    <mergeCell ref="D26:E26"/>
    <mergeCell ref="I26:I27"/>
    <mergeCell ref="J26:L27"/>
    <mergeCell ref="D27:H27"/>
    <mergeCell ref="C22:D22"/>
    <mergeCell ref="E22:E23"/>
    <mergeCell ref="F22:H22"/>
    <mergeCell ref="I22:I23"/>
    <mergeCell ref="C23:D23"/>
    <mergeCell ref="F23:H23"/>
    <mergeCell ref="B17:C17"/>
    <mergeCell ref="H17:J17"/>
    <mergeCell ref="L17:N17"/>
    <mergeCell ref="B18:B19"/>
    <mergeCell ref="C18:C19"/>
    <mergeCell ref="D18:E18"/>
    <mergeCell ref="I18:I19"/>
    <mergeCell ref="J18:L19"/>
    <mergeCell ref="D19:H19"/>
    <mergeCell ref="C14:D14"/>
    <mergeCell ref="E14:E15"/>
    <mergeCell ref="F14:H14"/>
    <mergeCell ref="I14:I15"/>
    <mergeCell ref="C15:D15"/>
    <mergeCell ref="F15:H15"/>
    <mergeCell ref="E11:E12"/>
    <mergeCell ref="F11:H11"/>
    <mergeCell ref="I11:I12"/>
    <mergeCell ref="J11:L11"/>
    <mergeCell ref="F12:H12"/>
    <mergeCell ref="J12:L12"/>
    <mergeCell ref="C8:D8"/>
    <mergeCell ref="E8:H8"/>
    <mergeCell ref="I8:L8"/>
    <mergeCell ref="N8:O9"/>
    <mergeCell ref="C9:D9"/>
    <mergeCell ref="E9:H9"/>
    <mergeCell ref="I9:L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/>
  <dimension ref="A1:T174"/>
  <sheetViews>
    <sheetView workbookViewId="0">
      <selection activeCell="T18" sqref="T18"/>
    </sheetView>
  </sheetViews>
  <sheetFormatPr defaultColWidth="28.09765625" defaultRowHeight="13.5" customHeight="1" x14ac:dyDescent="0.25"/>
  <cols>
    <col min="1" max="1" width="2.69921875" style="1206" customWidth="1"/>
    <col min="2" max="2" width="4.3984375" style="1208" customWidth="1"/>
    <col min="3" max="3" width="7.5" style="1209" customWidth="1"/>
    <col min="4" max="4" width="8.3984375" style="1208" customWidth="1"/>
    <col min="5" max="5" width="5.8984375" style="1208" customWidth="1"/>
    <col min="6" max="7" width="3.69921875" style="1208" customWidth="1"/>
    <col min="8" max="8" width="5.5" style="1208" customWidth="1"/>
    <col min="9" max="9" width="4.3984375" style="1208" customWidth="1"/>
    <col min="10" max="10" width="5.3984375" style="1208" customWidth="1"/>
    <col min="11" max="11" width="3.69921875" style="1208" customWidth="1"/>
    <col min="12" max="12" width="3.8984375" style="1208" customWidth="1"/>
    <col min="13" max="13" width="6.3984375" style="1208" customWidth="1"/>
    <col min="14" max="14" width="11.8984375" style="1208" customWidth="1"/>
    <col min="15" max="15" width="13.5" style="1208" customWidth="1"/>
    <col min="16" max="16" width="1.8984375" style="1208" bestFit="1" customWidth="1"/>
    <col min="17" max="17" width="3.19921875" style="1208" customWidth="1"/>
    <col min="18" max="18" width="5.19921875" style="1208" customWidth="1"/>
    <col min="19" max="19" width="10.59765625" style="1208" customWidth="1"/>
    <col min="20" max="20" width="10.59765625" style="1210" customWidth="1"/>
    <col min="21" max="30" width="10.59765625" style="1208" customWidth="1"/>
    <col min="31" max="16384" width="28.09765625" style="1208"/>
  </cols>
  <sheetData>
    <row r="1" spans="1:20" ht="13.5" customHeight="1" x14ac:dyDescent="0.25">
      <c r="A1" s="1206" t="str">
        <f>Inicio!J6</f>
        <v>Estudante</v>
      </c>
      <c r="B1" s="1206"/>
      <c r="C1" s="1207"/>
      <c r="D1" s="1206" t="s">
        <v>256</v>
      </c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  <c r="P1" s="1207"/>
      <c r="Q1" s="1207"/>
      <c r="T1" s="1208"/>
    </row>
    <row r="2" spans="1:20" ht="13.5" customHeight="1" x14ac:dyDescent="0.25">
      <c r="B2" s="1209" t="s">
        <v>421</v>
      </c>
      <c r="C2" s="1208"/>
      <c r="D2" s="1210"/>
      <c r="E2" s="1210"/>
      <c r="F2" s="1872">
        <v>13.9</v>
      </c>
      <c r="G2" s="1872"/>
      <c r="H2" s="1872"/>
      <c r="I2" s="1208" t="s">
        <v>219</v>
      </c>
      <c r="O2" s="1211">
        <v>1704</v>
      </c>
      <c r="P2" s="1208" t="s">
        <v>42</v>
      </c>
      <c r="Q2" s="1207"/>
      <c r="T2" s="1208"/>
    </row>
    <row r="3" spans="1:20" ht="13.5" customHeight="1" x14ac:dyDescent="0.25">
      <c r="B3" s="1209" t="s">
        <v>227</v>
      </c>
      <c r="C3" s="1208"/>
      <c r="Q3" s="1207"/>
      <c r="T3" s="1208"/>
    </row>
    <row r="4" spans="1:20" ht="13.5" customHeight="1" x14ac:dyDescent="0.25">
      <c r="B4" s="1209" t="s">
        <v>228</v>
      </c>
      <c r="C4" s="1208"/>
      <c r="Q4" s="1207"/>
      <c r="T4" s="1208"/>
    </row>
    <row r="5" spans="1:20" ht="12" customHeight="1" thickBot="1" x14ac:dyDescent="0.3">
      <c r="B5" s="1209"/>
      <c r="C5" s="1212" t="s">
        <v>422</v>
      </c>
      <c r="D5" s="1213"/>
      <c r="E5" s="1214" t="s">
        <v>423</v>
      </c>
      <c r="F5" s="1215"/>
      <c r="G5" s="1215"/>
      <c r="H5" s="1213"/>
      <c r="I5" s="1216" t="s">
        <v>221</v>
      </c>
      <c r="J5" s="1217"/>
      <c r="K5" s="1217"/>
      <c r="L5" s="1218"/>
      <c r="Q5" s="1207"/>
      <c r="T5" s="1208"/>
    </row>
    <row r="6" spans="1:20" ht="13.5" customHeight="1" x14ac:dyDescent="0.25">
      <c r="B6" s="1219" t="s">
        <v>13</v>
      </c>
      <c r="C6" s="1824">
        <v>100</v>
      </c>
      <c r="D6" s="1825"/>
      <c r="E6" s="1826">
        <f>F2</f>
        <v>13.9</v>
      </c>
      <c r="F6" s="1827"/>
      <c r="G6" s="1827"/>
      <c r="H6" s="1827"/>
      <c r="I6" s="1828">
        <f>C6+E6</f>
        <v>113.9</v>
      </c>
      <c r="J6" s="1829"/>
      <c r="K6" s="1829"/>
      <c r="L6" s="1830"/>
      <c r="N6" s="1831" t="s">
        <v>224</v>
      </c>
      <c r="O6" s="1831"/>
      <c r="Q6" s="1207"/>
      <c r="T6" s="1208"/>
    </row>
    <row r="7" spans="1:20" ht="13.5" customHeight="1" thickBot="1" x14ac:dyDescent="0.3">
      <c r="B7" s="1220" t="s">
        <v>20</v>
      </c>
      <c r="C7" s="1832" t="s">
        <v>222</v>
      </c>
      <c r="D7" s="1832"/>
      <c r="E7" s="1833" t="s">
        <v>223</v>
      </c>
      <c r="F7" s="1833"/>
      <c r="G7" s="1833"/>
      <c r="H7" s="1834"/>
      <c r="I7" s="1835">
        <f>O2</f>
        <v>1704</v>
      </c>
      <c r="J7" s="1836"/>
      <c r="K7" s="1837"/>
      <c r="L7" s="1838"/>
      <c r="N7" s="1831"/>
      <c r="O7" s="1831"/>
      <c r="Q7" s="1207"/>
      <c r="T7" s="1208"/>
    </row>
    <row r="8" spans="1:20" ht="9.75" customHeight="1" x14ac:dyDescent="0.25">
      <c r="C8" s="1208"/>
      <c r="Q8" s="1207"/>
      <c r="T8" s="1208"/>
    </row>
    <row r="9" spans="1:20" ht="13.5" customHeight="1" x14ac:dyDescent="0.25">
      <c r="B9" s="1209"/>
      <c r="D9" s="1221">
        <f>C6</f>
        <v>100</v>
      </c>
      <c r="E9" s="1839" t="s">
        <v>3</v>
      </c>
      <c r="F9" s="1840">
        <f>E6</f>
        <v>13.9</v>
      </c>
      <c r="G9" s="1840"/>
      <c r="H9" s="1840"/>
      <c r="I9" s="1839" t="s">
        <v>3</v>
      </c>
      <c r="J9" s="1841">
        <f>I6</f>
        <v>113.9</v>
      </c>
      <c r="K9" s="1841"/>
      <c r="L9" s="1841"/>
      <c r="M9" s="1222"/>
      <c r="N9" s="1222"/>
      <c r="O9" s="1222"/>
      <c r="Q9" s="1207"/>
      <c r="T9" s="1208"/>
    </row>
    <row r="10" spans="1:20" ht="13.5" customHeight="1" x14ac:dyDescent="0.25">
      <c r="B10" s="1209"/>
      <c r="D10" s="1223" t="str">
        <f>C7</f>
        <v>V</v>
      </c>
      <c r="E10" s="1839"/>
      <c r="F10" s="1842" t="str">
        <f>E7</f>
        <v>A</v>
      </c>
      <c r="G10" s="1842"/>
      <c r="H10" s="1842"/>
      <c r="I10" s="1839"/>
      <c r="J10" s="1843">
        <f>I7</f>
        <v>1704</v>
      </c>
      <c r="K10" s="1843"/>
      <c r="L10" s="1843"/>
      <c r="M10" s="1222"/>
      <c r="N10" s="1224"/>
      <c r="O10" s="1224"/>
      <c r="Q10" s="1207"/>
      <c r="T10" s="1208"/>
    </row>
    <row r="11" spans="1:20" ht="13.5" customHeight="1" x14ac:dyDescent="0.25">
      <c r="B11" s="1225"/>
      <c r="C11" s="1226" t="s">
        <v>221</v>
      </c>
      <c r="D11" s="1227"/>
      <c r="E11" s="1227"/>
      <c r="F11" s="1228" t="s">
        <v>220</v>
      </c>
      <c r="G11" s="1228"/>
      <c r="H11" s="1218"/>
      <c r="O11" s="1209"/>
      <c r="P11" s="1209"/>
      <c r="Q11" s="1207"/>
      <c r="T11" s="1208"/>
    </row>
    <row r="12" spans="1:20" ht="13.5" customHeight="1" x14ac:dyDescent="0.25">
      <c r="B12" s="1229" t="s">
        <v>13</v>
      </c>
      <c r="C12" s="1844">
        <f>I6</f>
        <v>113.9</v>
      </c>
      <c r="D12" s="1841"/>
      <c r="E12" s="1839" t="s">
        <v>3</v>
      </c>
      <c r="F12" s="1840">
        <f>F9</f>
        <v>13.9</v>
      </c>
      <c r="G12" s="1840"/>
      <c r="H12" s="1846"/>
      <c r="I12" s="1847"/>
      <c r="Q12" s="1207"/>
      <c r="T12" s="1208"/>
    </row>
    <row r="13" spans="1:20" ht="13.5" customHeight="1" x14ac:dyDescent="0.25">
      <c r="B13" s="1230" t="s">
        <v>20</v>
      </c>
      <c r="C13" s="1849">
        <f>J10</f>
        <v>1704</v>
      </c>
      <c r="D13" s="1850"/>
      <c r="E13" s="1845"/>
      <c r="F13" s="1851" t="str">
        <f>F10</f>
        <v>A</v>
      </c>
      <c r="G13" s="1851"/>
      <c r="H13" s="1852"/>
      <c r="I13" s="1848"/>
      <c r="Q13" s="1207"/>
      <c r="S13" s="1231"/>
      <c r="T13" s="1208"/>
    </row>
    <row r="14" spans="1:20" s="1232" customFormat="1" ht="6.75" customHeight="1" x14ac:dyDescent="0.25">
      <c r="A14" s="1206"/>
      <c r="Q14" s="1207"/>
    </row>
    <row r="15" spans="1:20" s="1232" customFormat="1" ht="13.5" customHeight="1" x14ac:dyDescent="0.25">
      <c r="A15" s="1206"/>
      <c r="B15" s="1869">
        <f>C12</f>
        <v>113.9</v>
      </c>
      <c r="C15" s="1870"/>
      <c r="D15" s="1233" t="s">
        <v>22</v>
      </c>
      <c r="E15" s="1234" t="str">
        <f>F13</f>
        <v>A</v>
      </c>
      <c r="F15" s="1233" t="s">
        <v>3</v>
      </c>
      <c r="G15" s="1233"/>
      <c r="H15" s="1871">
        <f>C13</f>
        <v>1704</v>
      </c>
      <c r="I15" s="1871"/>
      <c r="J15" s="1871"/>
      <c r="K15" s="1235" t="s">
        <v>22</v>
      </c>
      <c r="L15" s="1853">
        <f>F12</f>
        <v>13.9</v>
      </c>
      <c r="M15" s="1853"/>
      <c r="N15" s="1854"/>
      <c r="Q15" s="1207"/>
    </row>
    <row r="16" spans="1:20" s="1232" customFormat="1" ht="13.5" customHeight="1" x14ac:dyDescent="0.25">
      <c r="A16" s="1206"/>
      <c r="B16" s="1855" t="str">
        <f>F13</f>
        <v>A</v>
      </c>
      <c r="C16" s="1857" t="s">
        <v>3</v>
      </c>
      <c r="D16" s="1858">
        <f>H15</f>
        <v>1704</v>
      </c>
      <c r="E16" s="1858"/>
      <c r="F16" s="1236" t="s">
        <v>22</v>
      </c>
      <c r="G16" s="1237"/>
      <c r="H16" s="1238">
        <f>F12</f>
        <v>13.9</v>
      </c>
      <c r="I16" s="1859" t="s">
        <v>3</v>
      </c>
      <c r="J16" s="1861">
        <f>D16*H16/D17</f>
        <v>207.95083406496929</v>
      </c>
      <c r="K16" s="1861"/>
      <c r="L16" s="1862"/>
      <c r="Q16" s="1207"/>
    </row>
    <row r="17" spans="1:20" s="1232" customFormat="1" ht="13.5" customHeight="1" x14ac:dyDescent="0.25">
      <c r="A17" s="1206"/>
      <c r="B17" s="1856"/>
      <c r="C17" s="1845"/>
      <c r="D17" s="1841">
        <f>B15</f>
        <v>113.9</v>
      </c>
      <c r="E17" s="1841"/>
      <c r="F17" s="1841"/>
      <c r="G17" s="1841"/>
      <c r="H17" s="1841"/>
      <c r="I17" s="1860"/>
      <c r="J17" s="1863"/>
      <c r="K17" s="1863"/>
      <c r="L17" s="1864"/>
      <c r="Q17" s="1207"/>
    </row>
    <row r="18" spans="1:20" ht="13.5" customHeight="1" x14ac:dyDescent="0.25">
      <c r="B18" s="1239"/>
      <c r="C18" s="1239"/>
      <c r="D18" s="1239"/>
      <c r="E18" s="1239"/>
      <c r="F18" s="1209"/>
      <c r="G18" s="1209"/>
      <c r="H18" s="1209"/>
      <c r="I18" s="1209"/>
      <c r="J18" s="1209"/>
      <c r="K18" s="1209"/>
      <c r="L18" s="1209"/>
      <c r="M18" s="1209"/>
      <c r="Q18" s="1207"/>
      <c r="T18" s="1208"/>
    </row>
    <row r="19" spans="1:20" ht="13.5" customHeight="1" x14ac:dyDescent="0.25">
      <c r="B19" s="1225"/>
      <c r="C19" s="1226" t="s">
        <v>221</v>
      </c>
      <c r="D19" s="1227"/>
      <c r="E19" s="1227"/>
      <c r="F19" s="1240" t="s">
        <v>236</v>
      </c>
      <c r="G19" s="1228"/>
      <c r="H19" s="1218"/>
      <c r="Q19" s="1207"/>
      <c r="T19" s="1208"/>
    </row>
    <row r="20" spans="1:20" ht="13.5" customHeight="1" x14ac:dyDescent="0.25">
      <c r="B20" s="1229" t="s">
        <v>13</v>
      </c>
      <c r="C20" s="1844">
        <f>C12</f>
        <v>113.9</v>
      </c>
      <c r="D20" s="1841"/>
      <c r="E20" s="1839" t="s">
        <v>3</v>
      </c>
      <c r="F20" s="1841">
        <f>C6</f>
        <v>100</v>
      </c>
      <c r="G20" s="1841"/>
      <c r="H20" s="1878"/>
      <c r="I20" s="1847"/>
      <c r="Q20" s="1207"/>
      <c r="T20" s="1208"/>
    </row>
    <row r="21" spans="1:20" ht="13.5" customHeight="1" x14ac:dyDescent="0.25">
      <c r="B21" s="1230" t="s">
        <v>20</v>
      </c>
      <c r="C21" s="1865">
        <f>C13</f>
        <v>1704</v>
      </c>
      <c r="D21" s="1866"/>
      <c r="E21" s="1845"/>
      <c r="F21" s="1867" t="s">
        <v>222</v>
      </c>
      <c r="G21" s="1867"/>
      <c r="H21" s="1868"/>
      <c r="I21" s="1848"/>
      <c r="Q21" s="1207"/>
      <c r="T21" s="1208"/>
    </row>
    <row r="22" spans="1:20" ht="13.5" customHeight="1" x14ac:dyDescent="0.25">
      <c r="B22" s="1232"/>
      <c r="C22" s="1232"/>
      <c r="D22" s="1232"/>
      <c r="E22" s="1232"/>
      <c r="F22" s="1232"/>
      <c r="G22" s="1232"/>
      <c r="H22" s="1232"/>
      <c r="I22" s="1232"/>
      <c r="J22" s="1232"/>
      <c r="K22" s="1232"/>
      <c r="L22" s="1232"/>
      <c r="M22" s="1232"/>
      <c r="N22" s="1232"/>
      <c r="Q22" s="1207"/>
      <c r="T22" s="1208"/>
    </row>
    <row r="23" spans="1:20" ht="13.5" customHeight="1" x14ac:dyDescent="0.25">
      <c r="B23" s="1869">
        <f>C20</f>
        <v>113.9</v>
      </c>
      <c r="C23" s="1870"/>
      <c r="D23" s="1233" t="s">
        <v>22</v>
      </c>
      <c r="E23" s="1234" t="str">
        <f>F21</f>
        <v>V</v>
      </c>
      <c r="F23" s="1233" t="s">
        <v>3</v>
      </c>
      <c r="G23" s="1233"/>
      <c r="H23" s="1871">
        <f>C21</f>
        <v>1704</v>
      </c>
      <c r="I23" s="1871"/>
      <c r="J23" s="1871"/>
      <c r="K23" s="1235" t="s">
        <v>22</v>
      </c>
      <c r="L23" s="1853">
        <f>F20</f>
        <v>100</v>
      </c>
      <c r="M23" s="1853"/>
      <c r="N23" s="1854"/>
      <c r="Q23" s="1207"/>
      <c r="T23" s="1208"/>
    </row>
    <row r="24" spans="1:20" ht="13.5" customHeight="1" x14ac:dyDescent="0.25">
      <c r="B24" s="1855" t="str">
        <f>F21</f>
        <v>V</v>
      </c>
      <c r="C24" s="1857" t="s">
        <v>3</v>
      </c>
      <c r="D24" s="1858">
        <f>H23</f>
        <v>1704</v>
      </c>
      <c r="E24" s="1858"/>
      <c r="F24" s="1236" t="s">
        <v>22</v>
      </c>
      <c r="G24" s="1237"/>
      <c r="H24" s="1238">
        <f>F20</f>
        <v>100</v>
      </c>
      <c r="I24" s="1859" t="s">
        <v>3</v>
      </c>
      <c r="J24" s="1861">
        <f>D24*H24/D25</f>
        <v>1496.0491659350307</v>
      </c>
      <c r="K24" s="1861"/>
      <c r="L24" s="1862"/>
      <c r="M24" s="1232"/>
      <c r="N24" s="1232"/>
      <c r="Q24" s="1207"/>
      <c r="T24" s="1208"/>
    </row>
    <row r="25" spans="1:20" ht="13.5" customHeight="1" x14ac:dyDescent="0.25">
      <c r="B25" s="1856"/>
      <c r="C25" s="1845"/>
      <c r="D25" s="1841">
        <f>B23</f>
        <v>113.9</v>
      </c>
      <c r="E25" s="1841"/>
      <c r="F25" s="1841"/>
      <c r="G25" s="1841"/>
      <c r="H25" s="1841"/>
      <c r="I25" s="1860"/>
      <c r="J25" s="1863"/>
      <c r="K25" s="1863"/>
      <c r="L25" s="1864"/>
      <c r="M25" s="1232"/>
      <c r="N25" s="1232"/>
      <c r="Q25" s="1207"/>
      <c r="T25" s="1208"/>
    </row>
    <row r="26" spans="1:20" ht="13.5" customHeight="1" x14ac:dyDescent="0.25">
      <c r="B26" s="1239"/>
      <c r="C26" s="1241"/>
      <c r="D26" s="1242"/>
      <c r="E26" s="1239"/>
      <c r="F26" s="1239"/>
      <c r="G26" s="1239"/>
      <c r="H26" s="1239"/>
      <c r="I26" s="1243"/>
      <c r="J26" s="1244"/>
      <c r="K26" s="1244"/>
      <c r="L26" s="1244"/>
      <c r="M26" s="1209"/>
      <c r="Q26" s="1207"/>
      <c r="T26" s="1208"/>
    </row>
    <row r="27" spans="1:20" ht="13.5" customHeight="1" x14ac:dyDescent="0.25">
      <c r="B27" s="1239" t="s">
        <v>229</v>
      </c>
      <c r="C27" s="1239"/>
      <c r="D27" s="1239"/>
      <c r="E27" s="1239"/>
      <c r="F27" s="1209"/>
      <c r="G27" s="1209"/>
      <c r="H27" s="1873">
        <f>J16</f>
        <v>207.95083406496929</v>
      </c>
      <c r="I27" s="1874"/>
      <c r="J27" s="1875"/>
      <c r="K27" s="1208" t="s">
        <v>230</v>
      </c>
      <c r="L27" s="1209"/>
      <c r="M27" s="1209"/>
      <c r="Q27" s="1207"/>
      <c r="T27" s="1208"/>
    </row>
    <row r="28" spans="1:20" ht="13.5" customHeight="1" x14ac:dyDescent="0.25">
      <c r="B28" s="1209" t="s">
        <v>231</v>
      </c>
      <c r="D28" s="1209"/>
      <c r="E28" s="1209"/>
      <c r="F28" s="1209"/>
      <c r="H28" s="1873">
        <f>J24</f>
        <v>1496.0491659350307</v>
      </c>
      <c r="I28" s="1874"/>
      <c r="J28" s="1875"/>
      <c r="K28" s="1239"/>
      <c r="L28" s="1239"/>
      <c r="M28" s="1209"/>
      <c r="Q28" s="1207"/>
      <c r="T28" s="1208"/>
    </row>
    <row r="29" spans="1:20" ht="13.5" customHeight="1" x14ac:dyDescent="0.25">
      <c r="B29" s="1209"/>
      <c r="D29" s="1209"/>
      <c r="E29" s="1209" t="s">
        <v>221</v>
      </c>
      <c r="F29" s="1209"/>
      <c r="G29" s="1209"/>
      <c r="H29" s="1876">
        <f>H27+H28</f>
        <v>1704</v>
      </c>
      <c r="I29" s="1877"/>
      <c r="J29" s="1877"/>
      <c r="K29" s="1877"/>
      <c r="L29" s="1877"/>
      <c r="M29" s="1209"/>
      <c r="Q29" s="1207"/>
      <c r="T29" s="1208"/>
    </row>
    <row r="30" spans="1:20" ht="13.5" customHeight="1" x14ac:dyDescent="0.25">
      <c r="B30" s="1206"/>
      <c r="C30" s="1206"/>
      <c r="D30" s="1206"/>
      <c r="E30" s="1206"/>
      <c r="F30" s="1206"/>
      <c r="G30" s="1206"/>
      <c r="H30" s="1206"/>
      <c r="I30" s="1206"/>
      <c r="J30" s="1206"/>
      <c r="K30" s="1206"/>
      <c r="L30" s="1206"/>
      <c r="M30" s="1206"/>
      <c r="N30" s="1206"/>
      <c r="O30" s="1206"/>
      <c r="P30" s="1206"/>
      <c r="Q30" s="1207"/>
      <c r="T30" s="1208"/>
    </row>
    <row r="31" spans="1:20" ht="13.5" customHeight="1" x14ac:dyDescent="0.25">
      <c r="A31" s="1245"/>
      <c r="T31" s="1208"/>
    </row>
    <row r="32" spans="1:20" ht="13.5" customHeight="1" x14ac:dyDescent="0.25">
      <c r="A32" s="1245"/>
      <c r="T32" s="1208"/>
    </row>
    <row r="33" spans="1:20" ht="13.5" customHeight="1" x14ac:dyDescent="0.25">
      <c r="A33" s="1245"/>
      <c r="T33" s="1208"/>
    </row>
    <row r="34" spans="1:20" ht="13.5" customHeight="1" x14ac:dyDescent="0.25">
      <c r="A34" s="1245"/>
      <c r="T34" s="1208"/>
    </row>
    <row r="35" spans="1:20" ht="13.5" customHeight="1" x14ac:dyDescent="0.25">
      <c r="A35" s="1245"/>
      <c r="T35" s="1208"/>
    </row>
    <row r="36" spans="1:20" ht="13.5" customHeight="1" x14ac:dyDescent="0.25">
      <c r="A36" s="1245"/>
      <c r="T36" s="1208"/>
    </row>
    <row r="37" spans="1:20" ht="13.5" customHeight="1" x14ac:dyDescent="0.25">
      <c r="A37" s="1245"/>
      <c r="T37" s="1208"/>
    </row>
    <row r="38" spans="1:20" ht="13.5" customHeight="1" x14ac:dyDescent="0.25">
      <c r="A38" s="1245"/>
      <c r="T38" s="1208"/>
    </row>
    <row r="39" spans="1:20" ht="13.5" customHeight="1" x14ac:dyDescent="0.25">
      <c r="A39" s="1245"/>
      <c r="T39" s="1208"/>
    </row>
    <row r="40" spans="1:20" ht="13.5" customHeight="1" x14ac:dyDescent="0.25">
      <c r="A40" s="1245"/>
      <c r="T40" s="1208"/>
    </row>
    <row r="41" spans="1:20" ht="13.5" customHeight="1" x14ac:dyDescent="0.25">
      <c r="A41" s="1245"/>
      <c r="T41" s="1208"/>
    </row>
    <row r="42" spans="1:20" ht="13.5" customHeight="1" x14ac:dyDescent="0.25">
      <c r="A42" s="1245"/>
      <c r="T42" s="1208"/>
    </row>
    <row r="43" spans="1:20" ht="13.5" customHeight="1" x14ac:dyDescent="0.25">
      <c r="A43" s="1245"/>
      <c r="T43" s="1208"/>
    </row>
    <row r="44" spans="1:20" ht="13.5" customHeight="1" x14ac:dyDescent="0.25">
      <c r="A44" s="1245"/>
      <c r="T44" s="1208"/>
    </row>
    <row r="45" spans="1:20" ht="13.5" customHeight="1" x14ac:dyDescent="0.25">
      <c r="A45" s="1245"/>
      <c r="T45" s="1208"/>
    </row>
    <row r="46" spans="1:20" ht="13.5" customHeight="1" x14ac:dyDescent="0.25">
      <c r="A46" s="1245"/>
      <c r="T46" s="1208"/>
    </row>
    <row r="47" spans="1:20" ht="13.5" customHeight="1" x14ac:dyDescent="0.25">
      <c r="A47" s="1245"/>
      <c r="T47" s="1208"/>
    </row>
    <row r="48" spans="1:20" ht="13.5" customHeight="1" x14ac:dyDescent="0.25">
      <c r="A48" s="1245"/>
      <c r="T48" s="1208"/>
    </row>
    <row r="49" spans="1:20" ht="13.5" customHeight="1" x14ac:dyDescent="0.25">
      <c r="A49" s="1245"/>
      <c r="T49" s="1208"/>
    </row>
    <row r="50" spans="1:20" ht="13.5" customHeight="1" x14ac:dyDescent="0.25">
      <c r="A50" s="1245"/>
      <c r="T50" s="1208"/>
    </row>
    <row r="51" spans="1:20" ht="13.5" customHeight="1" x14ac:dyDescent="0.25">
      <c r="A51" s="1245"/>
      <c r="T51" s="1208"/>
    </row>
    <row r="52" spans="1:20" ht="13.5" customHeight="1" x14ac:dyDescent="0.25">
      <c r="A52" s="1245"/>
      <c r="T52" s="1208"/>
    </row>
    <row r="53" spans="1:20" ht="13.5" customHeight="1" x14ac:dyDescent="0.25">
      <c r="A53" s="1245"/>
      <c r="T53" s="1208"/>
    </row>
    <row r="54" spans="1:20" ht="13.5" customHeight="1" x14ac:dyDescent="0.25">
      <c r="A54" s="1245"/>
      <c r="T54" s="1208"/>
    </row>
    <row r="55" spans="1:20" ht="13.5" customHeight="1" x14ac:dyDescent="0.25">
      <c r="A55" s="1245"/>
      <c r="T55" s="1208"/>
    </row>
    <row r="56" spans="1:20" ht="13.5" customHeight="1" x14ac:dyDescent="0.25">
      <c r="A56" s="1245"/>
      <c r="T56" s="1208"/>
    </row>
    <row r="57" spans="1:20" ht="13.5" customHeight="1" x14ac:dyDescent="0.25">
      <c r="A57" s="1245"/>
      <c r="T57" s="1208"/>
    </row>
    <row r="58" spans="1:20" ht="13.5" customHeight="1" x14ac:dyDescent="0.25">
      <c r="A58" s="1245"/>
      <c r="T58" s="1208"/>
    </row>
    <row r="59" spans="1:20" ht="13.5" customHeight="1" x14ac:dyDescent="0.25">
      <c r="A59" s="1245"/>
      <c r="T59" s="1208"/>
    </row>
    <row r="60" spans="1:20" ht="13.5" customHeight="1" x14ac:dyDescent="0.25">
      <c r="A60" s="1245"/>
      <c r="T60" s="1208"/>
    </row>
    <row r="61" spans="1:20" ht="13.5" customHeight="1" x14ac:dyDescent="0.25">
      <c r="A61" s="1245"/>
      <c r="T61" s="1208"/>
    </row>
    <row r="62" spans="1:20" ht="13.5" customHeight="1" x14ac:dyDescent="0.25">
      <c r="A62" s="1245"/>
      <c r="T62" s="1208"/>
    </row>
    <row r="63" spans="1:20" ht="13.5" customHeight="1" x14ac:dyDescent="0.25">
      <c r="A63" s="1245"/>
      <c r="T63" s="1208"/>
    </row>
    <row r="64" spans="1:20" ht="13.5" customHeight="1" x14ac:dyDescent="0.25">
      <c r="A64" s="1245"/>
      <c r="T64" s="1208"/>
    </row>
    <row r="65" spans="1:20" ht="13.5" customHeight="1" x14ac:dyDescent="0.25">
      <c r="A65" s="1245"/>
      <c r="T65" s="1208"/>
    </row>
    <row r="66" spans="1:20" ht="13.5" customHeight="1" x14ac:dyDescent="0.25">
      <c r="A66" s="1245"/>
      <c r="T66" s="1208"/>
    </row>
    <row r="67" spans="1:20" ht="13.5" customHeight="1" x14ac:dyDescent="0.25">
      <c r="A67" s="1245"/>
      <c r="T67" s="1208"/>
    </row>
    <row r="68" spans="1:20" ht="13.5" customHeight="1" x14ac:dyDescent="0.25">
      <c r="A68" s="1245"/>
      <c r="T68" s="1208"/>
    </row>
    <row r="69" spans="1:20" ht="13.5" customHeight="1" x14ac:dyDescent="0.25">
      <c r="A69" s="1245"/>
      <c r="T69" s="1208"/>
    </row>
    <row r="70" spans="1:20" ht="13.5" customHeight="1" x14ac:dyDescent="0.25">
      <c r="A70" s="1245"/>
      <c r="T70" s="1208"/>
    </row>
    <row r="71" spans="1:20" ht="13.5" customHeight="1" x14ac:dyDescent="0.25">
      <c r="A71" s="1245"/>
      <c r="T71" s="1208"/>
    </row>
    <row r="72" spans="1:20" ht="13.5" customHeight="1" x14ac:dyDescent="0.25">
      <c r="A72" s="1245"/>
      <c r="T72" s="1208"/>
    </row>
    <row r="73" spans="1:20" ht="13.5" customHeight="1" x14ac:dyDescent="0.25">
      <c r="A73" s="1245"/>
      <c r="T73" s="1208"/>
    </row>
    <row r="74" spans="1:20" ht="13.5" customHeight="1" x14ac:dyDescent="0.25">
      <c r="A74" s="1245"/>
      <c r="T74" s="1208"/>
    </row>
    <row r="75" spans="1:20" ht="13.5" customHeight="1" x14ac:dyDescent="0.25">
      <c r="A75" s="1245"/>
      <c r="T75" s="1208"/>
    </row>
    <row r="76" spans="1:20" ht="13.5" customHeight="1" x14ac:dyDescent="0.25">
      <c r="A76" s="1245"/>
      <c r="T76" s="1208"/>
    </row>
    <row r="77" spans="1:20" ht="13.5" customHeight="1" x14ac:dyDescent="0.25">
      <c r="A77" s="1245"/>
      <c r="T77" s="1208"/>
    </row>
    <row r="78" spans="1:20" ht="13.5" customHeight="1" x14ac:dyDescent="0.25">
      <c r="A78" s="1245"/>
      <c r="T78" s="1208"/>
    </row>
    <row r="79" spans="1:20" ht="13.5" customHeight="1" x14ac:dyDescent="0.25">
      <c r="A79" s="1245"/>
      <c r="T79" s="1208"/>
    </row>
    <row r="80" spans="1:20" ht="13.5" customHeight="1" x14ac:dyDescent="0.25">
      <c r="A80" s="1245"/>
      <c r="T80" s="1208"/>
    </row>
    <row r="81" spans="1:20" ht="13.5" customHeight="1" x14ac:dyDescent="0.25">
      <c r="A81" s="1245"/>
      <c r="T81" s="1208"/>
    </row>
    <row r="82" spans="1:20" ht="13.5" customHeight="1" x14ac:dyDescent="0.25">
      <c r="A82" s="1245"/>
      <c r="T82" s="1208"/>
    </row>
    <row r="83" spans="1:20" ht="13.5" customHeight="1" x14ac:dyDescent="0.25">
      <c r="A83" s="1245"/>
      <c r="T83" s="1208"/>
    </row>
    <row r="84" spans="1:20" ht="13.5" customHeight="1" x14ac:dyDescent="0.25">
      <c r="A84" s="1245"/>
      <c r="T84" s="1208"/>
    </row>
    <row r="85" spans="1:20" ht="13.5" customHeight="1" x14ac:dyDescent="0.25">
      <c r="A85" s="1245"/>
      <c r="T85" s="1208"/>
    </row>
    <row r="86" spans="1:20" ht="13.5" customHeight="1" x14ac:dyDescent="0.25">
      <c r="A86" s="1245"/>
      <c r="T86" s="1208"/>
    </row>
    <row r="87" spans="1:20" ht="13.5" customHeight="1" x14ac:dyDescent="0.25">
      <c r="A87" s="1245"/>
      <c r="T87" s="1208"/>
    </row>
    <row r="88" spans="1:20" ht="13.5" customHeight="1" x14ac:dyDescent="0.25">
      <c r="A88" s="1245"/>
      <c r="T88" s="1208"/>
    </row>
    <row r="89" spans="1:20" ht="13.5" customHeight="1" x14ac:dyDescent="0.25">
      <c r="A89" s="1245"/>
      <c r="T89" s="1208"/>
    </row>
    <row r="90" spans="1:20" ht="13.5" customHeight="1" x14ac:dyDescent="0.25">
      <c r="A90" s="1245"/>
      <c r="T90" s="1208"/>
    </row>
    <row r="91" spans="1:20" ht="13.5" customHeight="1" x14ac:dyDescent="0.25">
      <c r="A91" s="1245"/>
      <c r="T91" s="1208"/>
    </row>
    <row r="92" spans="1:20" ht="13.5" customHeight="1" x14ac:dyDescent="0.25">
      <c r="A92" s="1245"/>
      <c r="T92" s="1208"/>
    </row>
    <row r="93" spans="1:20" ht="13.5" customHeight="1" x14ac:dyDescent="0.25">
      <c r="A93" s="1245"/>
      <c r="T93" s="1208"/>
    </row>
    <row r="94" spans="1:20" ht="13.5" customHeight="1" x14ac:dyDescent="0.25">
      <c r="A94" s="1245"/>
      <c r="T94" s="1208"/>
    </row>
    <row r="95" spans="1:20" ht="13.5" customHeight="1" x14ac:dyDescent="0.25">
      <c r="A95" s="1245"/>
      <c r="T95" s="1208"/>
    </row>
    <row r="96" spans="1:20" ht="13.5" customHeight="1" x14ac:dyDescent="0.25">
      <c r="A96" s="1245"/>
      <c r="T96" s="1208"/>
    </row>
    <row r="97" spans="1:20" ht="13.5" customHeight="1" x14ac:dyDescent="0.25">
      <c r="A97" s="1245"/>
      <c r="T97" s="1208"/>
    </row>
    <row r="98" spans="1:20" ht="13.5" customHeight="1" x14ac:dyDescent="0.25">
      <c r="A98" s="1245"/>
      <c r="T98" s="1208"/>
    </row>
    <row r="99" spans="1:20" ht="13.5" customHeight="1" x14ac:dyDescent="0.25">
      <c r="A99" s="1245"/>
      <c r="T99" s="1208"/>
    </row>
    <row r="100" spans="1:20" ht="13.5" customHeight="1" x14ac:dyDescent="0.25">
      <c r="A100" s="1245"/>
      <c r="T100" s="1208"/>
    </row>
    <row r="101" spans="1:20" ht="13.5" customHeight="1" x14ac:dyDescent="0.25">
      <c r="A101" s="1245"/>
      <c r="T101" s="1208"/>
    </row>
    <row r="102" spans="1:20" ht="13.5" customHeight="1" x14ac:dyDescent="0.25">
      <c r="A102" s="1245"/>
      <c r="T102" s="1208"/>
    </row>
    <row r="103" spans="1:20" ht="13.5" customHeight="1" x14ac:dyDescent="0.25">
      <c r="A103" s="1245"/>
      <c r="T103" s="1208"/>
    </row>
    <row r="104" spans="1:20" ht="13.5" customHeight="1" x14ac:dyDescent="0.25">
      <c r="A104" s="1245"/>
      <c r="T104" s="1208"/>
    </row>
    <row r="105" spans="1:20" ht="13.5" customHeight="1" x14ac:dyDescent="0.25">
      <c r="A105" s="1245"/>
      <c r="T105" s="1208"/>
    </row>
    <row r="106" spans="1:20" ht="13.5" customHeight="1" x14ac:dyDescent="0.25">
      <c r="A106" s="1245"/>
      <c r="T106" s="1208"/>
    </row>
    <row r="107" spans="1:20" ht="13.5" customHeight="1" x14ac:dyDescent="0.25">
      <c r="A107" s="1245"/>
      <c r="T107" s="1208"/>
    </row>
    <row r="108" spans="1:20" ht="13.5" customHeight="1" x14ac:dyDescent="0.25">
      <c r="A108" s="1245"/>
      <c r="T108" s="1208"/>
    </row>
    <row r="109" spans="1:20" ht="13.5" customHeight="1" x14ac:dyDescent="0.25">
      <c r="A109" s="1245"/>
      <c r="T109" s="1208"/>
    </row>
    <row r="110" spans="1:20" ht="13.5" customHeight="1" x14ac:dyDescent="0.25">
      <c r="A110" s="1245"/>
      <c r="T110" s="1208"/>
    </row>
    <row r="111" spans="1:20" ht="13.5" customHeight="1" x14ac:dyDescent="0.25">
      <c r="A111" s="1245"/>
      <c r="T111" s="1208"/>
    </row>
    <row r="112" spans="1:20" ht="13.5" customHeight="1" x14ac:dyDescent="0.25">
      <c r="A112" s="1245"/>
      <c r="T112" s="1208"/>
    </row>
    <row r="113" spans="1:20" ht="13.5" customHeight="1" x14ac:dyDescent="0.25">
      <c r="A113" s="1245"/>
      <c r="T113" s="1208"/>
    </row>
    <row r="114" spans="1:20" ht="13.5" customHeight="1" x14ac:dyDescent="0.25">
      <c r="A114" s="1245"/>
      <c r="T114" s="1208"/>
    </row>
    <row r="115" spans="1:20" ht="13.5" customHeight="1" x14ac:dyDescent="0.25">
      <c r="A115" s="1245"/>
    </row>
    <row r="116" spans="1:20" ht="13.5" customHeight="1" x14ac:dyDescent="0.25">
      <c r="A116" s="1245"/>
    </row>
    <row r="117" spans="1:20" ht="13.5" customHeight="1" x14ac:dyDescent="0.25">
      <c r="A117" s="1245"/>
    </row>
    <row r="118" spans="1:20" ht="13.5" customHeight="1" x14ac:dyDescent="0.25">
      <c r="A118" s="1245"/>
    </row>
    <row r="119" spans="1:20" ht="13.5" customHeight="1" x14ac:dyDescent="0.25">
      <c r="A119" s="1245"/>
    </row>
    <row r="120" spans="1:20" ht="13.5" customHeight="1" x14ac:dyDescent="0.25">
      <c r="A120" s="1245"/>
    </row>
    <row r="121" spans="1:20" ht="13.5" customHeight="1" x14ac:dyDescent="0.25">
      <c r="A121" s="1245"/>
    </row>
    <row r="122" spans="1:20" ht="13.5" customHeight="1" x14ac:dyDescent="0.25">
      <c r="A122" s="1245"/>
    </row>
    <row r="123" spans="1:20" ht="13.5" customHeight="1" x14ac:dyDescent="0.25">
      <c r="A123" s="1245"/>
    </row>
    <row r="124" spans="1:20" ht="13.5" customHeight="1" x14ac:dyDescent="0.25">
      <c r="A124" s="1245"/>
    </row>
    <row r="125" spans="1:20" ht="13.5" customHeight="1" x14ac:dyDescent="0.25">
      <c r="A125" s="1245"/>
    </row>
    <row r="126" spans="1:20" ht="13.5" customHeight="1" x14ac:dyDescent="0.25">
      <c r="A126" s="1245"/>
    </row>
    <row r="127" spans="1:20" ht="13.5" customHeight="1" x14ac:dyDescent="0.25">
      <c r="A127" s="1245"/>
    </row>
    <row r="128" spans="1:20" ht="13.5" customHeight="1" x14ac:dyDescent="0.25">
      <c r="A128" s="1245"/>
    </row>
    <row r="129" spans="1:1" ht="13.5" customHeight="1" x14ac:dyDescent="0.25">
      <c r="A129" s="1245"/>
    </row>
    <row r="130" spans="1:1" ht="13.5" customHeight="1" x14ac:dyDescent="0.25">
      <c r="A130" s="1245"/>
    </row>
    <row r="131" spans="1:1" ht="13.5" customHeight="1" x14ac:dyDescent="0.25">
      <c r="A131" s="1245"/>
    </row>
    <row r="132" spans="1:1" ht="13.5" customHeight="1" x14ac:dyDescent="0.25">
      <c r="A132" s="1245"/>
    </row>
    <row r="133" spans="1:1" ht="13.5" customHeight="1" x14ac:dyDescent="0.25">
      <c r="A133" s="1245"/>
    </row>
    <row r="134" spans="1:1" ht="13.5" customHeight="1" x14ac:dyDescent="0.25">
      <c r="A134" s="1245"/>
    </row>
    <row r="135" spans="1:1" ht="13.5" customHeight="1" x14ac:dyDescent="0.25">
      <c r="A135" s="1245"/>
    </row>
    <row r="136" spans="1:1" ht="13.5" customHeight="1" x14ac:dyDescent="0.25">
      <c r="A136" s="1245"/>
    </row>
    <row r="137" spans="1:1" ht="13.5" customHeight="1" x14ac:dyDescent="0.25">
      <c r="A137" s="1245"/>
    </row>
    <row r="138" spans="1:1" ht="13.5" customHeight="1" x14ac:dyDescent="0.25">
      <c r="A138" s="1245"/>
    </row>
    <row r="139" spans="1:1" ht="13.5" customHeight="1" x14ac:dyDescent="0.25">
      <c r="A139" s="1245"/>
    </row>
    <row r="140" spans="1:1" ht="13.5" customHeight="1" x14ac:dyDescent="0.25">
      <c r="A140" s="1245"/>
    </row>
    <row r="141" spans="1:1" ht="13.5" customHeight="1" x14ac:dyDescent="0.25">
      <c r="A141" s="1245"/>
    </row>
    <row r="142" spans="1:1" ht="13.5" customHeight="1" x14ac:dyDescent="0.25">
      <c r="A142" s="1245"/>
    </row>
    <row r="143" spans="1:1" ht="13.5" customHeight="1" x14ac:dyDescent="0.25">
      <c r="A143" s="1245"/>
    </row>
    <row r="144" spans="1:1" ht="13.5" customHeight="1" x14ac:dyDescent="0.25">
      <c r="A144" s="1245"/>
    </row>
    <row r="145" spans="1:1" ht="13.5" customHeight="1" x14ac:dyDescent="0.25">
      <c r="A145" s="1245"/>
    </row>
    <row r="146" spans="1:1" ht="13.5" customHeight="1" x14ac:dyDescent="0.25">
      <c r="A146" s="1245"/>
    </row>
    <row r="147" spans="1:1" ht="13.5" customHeight="1" x14ac:dyDescent="0.25">
      <c r="A147" s="1245"/>
    </row>
    <row r="148" spans="1:1" ht="13.5" customHeight="1" x14ac:dyDescent="0.25">
      <c r="A148" s="1245"/>
    </row>
    <row r="149" spans="1:1" ht="13.5" customHeight="1" x14ac:dyDescent="0.25">
      <c r="A149" s="1245"/>
    </row>
    <row r="150" spans="1:1" ht="13.5" customHeight="1" x14ac:dyDescent="0.25">
      <c r="A150" s="1245"/>
    </row>
    <row r="151" spans="1:1" ht="13.5" customHeight="1" x14ac:dyDescent="0.25">
      <c r="A151" s="1245"/>
    </row>
    <row r="152" spans="1:1" ht="13.5" customHeight="1" x14ac:dyDescent="0.25">
      <c r="A152" s="1245"/>
    </row>
    <row r="153" spans="1:1" ht="13.5" customHeight="1" x14ac:dyDescent="0.25">
      <c r="A153" s="1245"/>
    </row>
    <row r="154" spans="1:1" ht="13.5" customHeight="1" x14ac:dyDescent="0.25">
      <c r="A154" s="1245"/>
    </row>
    <row r="155" spans="1:1" ht="13.5" customHeight="1" x14ac:dyDescent="0.25">
      <c r="A155" s="1245"/>
    </row>
    <row r="156" spans="1:1" ht="13.5" customHeight="1" x14ac:dyDescent="0.25">
      <c r="A156" s="1245"/>
    </row>
    <row r="157" spans="1:1" ht="13.5" customHeight="1" x14ac:dyDescent="0.25">
      <c r="A157" s="1245"/>
    </row>
    <row r="158" spans="1:1" ht="13.5" customHeight="1" x14ac:dyDescent="0.25">
      <c r="A158" s="1245"/>
    </row>
    <row r="159" spans="1:1" ht="13.5" customHeight="1" x14ac:dyDescent="0.25">
      <c r="A159" s="1245"/>
    </row>
    <row r="160" spans="1:1" ht="13.5" customHeight="1" x14ac:dyDescent="0.25">
      <c r="A160" s="1245"/>
    </row>
    <row r="161" spans="1:1" ht="13.5" customHeight="1" x14ac:dyDescent="0.25">
      <c r="A161" s="1245"/>
    </row>
    <row r="162" spans="1:1" ht="13.5" customHeight="1" x14ac:dyDescent="0.25">
      <c r="A162" s="1245"/>
    </row>
    <row r="163" spans="1:1" ht="13.5" customHeight="1" x14ac:dyDescent="0.25">
      <c r="A163" s="1245"/>
    </row>
    <row r="164" spans="1:1" ht="13.5" customHeight="1" x14ac:dyDescent="0.25">
      <c r="A164" s="1245"/>
    </row>
    <row r="165" spans="1:1" ht="13.5" customHeight="1" x14ac:dyDescent="0.25">
      <c r="A165" s="1245"/>
    </row>
    <row r="166" spans="1:1" ht="13.5" customHeight="1" x14ac:dyDescent="0.25">
      <c r="A166" s="1245"/>
    </row>
    <row r="167" spans="1:1" ht="13.5" customHeight="1" x14ac:dyDescent="0.25">
      <c r="A167" s="1245"/>
    </row>
    <row r="168" spans="1:1" ht="13.5" customHeight="1" x14ac:dyDescent="0.25">
      <c r="A168" s="1245"/>
    </row>
    <row r="169" spans="1:1" ht="13.5" customHeight="1" x14ac:dyDescent="0.25">
      <c r="A169" s="1245"/>
    </row>
    <row r="170" spans="1:1" ht="13.5" customHeight="1" x14ac:dyDescent="0.25">
      <c r="A170" s="1245"/>
    </row>
    <row r="171" spans="1:1" ht="13.5" customHeight="1" x14ac:dyDescent="0.25">
      <c r="A171" s="1245"/>
    </row>
    <row r="172" spans="1:1" ht="13.5" customHeight="1" x14ac:dyDescent="0.25">
      <c r="A172" s="1245"/>
    </row>
    <row r="173" spans="1:1" ht="13.5" customHeight="1" x14ac:dyDescent="0.25">
      <c r="A173" s="1245"/>
    </row>
    <row r="174" spans="1:1" ht="13.5" customHeight="1" x14ac:dyDescent="0.25">
      <c r="A174" s="1245"/>
    </row>
  </sheetData>
  <mergeCells count="47">
    <mergeCell ref="F2:H2"/>
    <mergeCell ref="H27:J27"/>
    <mergeCell ref="H28:J28"/>
    <mergeCell ref="H29:L29"/>
    <mergeCell ref="B23:C23"/>
    <mergeCell ref="H23:J23"/>
    <mergeCell ref="L23:N23"/>
    <mergeCell ref="B24:B25"/>
    <mergeCell ref="C24:C25"/>
    <mergeCell ref="D24:E24"/>
    <mergeCell ref="I24:I25"/>
    <mergeCell ref="J24:L25"/>
    <mergeCell ref="D25:H25"/>
    <mergeCell ref="C20:D20"/>
    <mergeCell ref="E20:E21"/>
    <mergeCell ref="F20:H20"/>
    <mergeCell ref="I20:I21"/>
    <mergeCell ref="C21:D21"/>
    <mergeCell ref="F21:H21"/>
    <mergeCell ref="B15:C15"/>
    <mergeCell ref="H15:J15"/>
    <mergeCell ref="L15:N15"/>
    <mergeCell ref="B16:B17"/>
    <mergeCell ref="C16:C17"/>
    <mergeCell ref="D16:E16"/>
    <mergeCell ref="I16:I17"/>
    <mergeCell ref="J16:L17"/>
    <mergeCell ref="D17:H17"/>
    <mergeCell ref="C12:D12"/>
    <mergeCell ref="E12:E13"/>
    <mergeCell ref="F12:H12"/>
    <mergeCell ref="I12:I13"/>
    <mergeCell ref="C13:D13"/>
    <mergeCell ref="F13:H13"/>
    <mergeCell ref="E9:E10"/>
    <mergeCell ref="F9:H9"/>
    <mergeCell ref="I9:I10"/>
    <mergeCell ref="J9:L9"/>
    <mergeCell ref="F10:H10"/>
    <mergeCell ref="J10:L10"/>
    <mergeCell ref="C6:D6"/>
    <mergeCell ref="E6:H6"/>
    <mergeCell ref="I6:L6"/>
    <mergeCell ref="N6:O7"/>
    <mergeCell ref="C7:D7"/>
    <mergeCell ref="E7:H7"/>
    <mergeCell ref="I7:L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T35"/>
  <sheetViews>
    <sheetView workbookViewId="0">
      <selection activeCell="U6" sqref="U6"/>
    </sheetView>
  </sheetViews>
  <sheetFormatPr defaultColWidth="28.09765625" defaultRowHeight="14.25" customHeight="1" x14ac:dyDescent="0.3"/>
  <cols>
    <col min="1" max="1" width="2" style="1137" customWidth="1"/>
    <col min="2" max="2" width="7.5" style="1136" customWidth="1"/>
    <col min="3" max="3" width="7.59765625" style="1139" customWidth="1"/>
    <col min="4" max="4" width="8.69921875" style="1136" customWidth="1"/>
    <col min="5" max="5" width="7.19921875" style="1136" customWidth="1"/>
    <col min="6" max="6" width="4.3984375" style="1136" customWidth="1"/>
    <col min="7" max="7" width="5" style="1136" customWidth="1"/>
    <col min="8" max="8" width="6.3984375" style="1136" customWidth="1"/>
    <col min="9" max="9" width="6.09765625" style="1136" customWidth="1"/>
    <col min="10" max="10" width="5.3984375" style="1136" customWidth="1"/>
    <col min="11" max="11" width="3.69921875" style="1136" customWidth="1"/>
    <col min="12" max="12" width="3.8984375" style="1136" customWidth="1"/>
    <col min="13" max="13" width="6.3984375" style="1136" customWidth="1"/>
    <col min="14" max="14" width="11.8984375" style="1136" customWidth="1"/>
    <col min="15" max="15" width="15.19921875" style="1136" customWidth="1"/>
    <col min="16" max="16" width="1.8984375" style="1136" bestFit="1" customWidth="1"/>
    <col min="17" max="17" width="2.19921875" style="1136" customWidth="1"/>
    <col min="18" max="18" width="5.19921875" style="1136" customWidth="1"/>
    <col min="19" max="19" width="10.59765625" style="1136" customWidth="1"/>
    <col min="20" max="20" width="10.59765625" style="694" customWidth="1"/>
    <col min="21" max="30" width="10.59765625" style="1136" customWidth="1"/>
    <col min="31" max="16384" width="28.09765625" style="1136"/>
  </cols>
  <sheetData>
    <row r="1" spans="1:20" ht="14.25" customHeight="1" x14ac:dyDescent="0.3">
      <c r="A1" s="1137" t="str">
        <f>Inicio!J6</f>
        <v>Estudante</v>
      </c>
      <c r="B1" s="1137"/>
      <c r="C1" s="1138"/>
      <c r="D1" s="1137" t="s">
        <v>256</v>
      </c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T1" s="1136"/>
    </row>
    <row r="2" spans="1:20" ht="14.25" customHeight="1" x14ac:dyDescent="0.3">
      <c r="B2" s="1139" t="s">
        <v>239</v>
      </c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  <c r="O2" s="1168"/>
      <c r="P2" s="1168"/>
      <c r="Q2" s="1138"/>
      <c r="T2" s="1136"/>
    </row>
    <row r="3" spans="1:20" ht="14.25" customHeight="1" x14ac:dyDescent="0.3">
      <c r="B3" s="1140">
        <v>4.0999999999999996</v>
      </c>
      <c r="C3" s="1139" t="s">
        <v>240</v>
      </c>
      <c r="O3" s="1168"/>
      <c r="P3" s="1168"/>
      <c r="Q3" s="1138"/>
      <c r="T3" s="1136"/>
    </row>
    <row r="4" spans="1:20" ht="14.25" customHeight="1" x14ac:dyDescent="0.3">
      <c r="B4" s="1139" t="s">
        <v>241</v>
      </c>
      <c r="O4" s="1168"/>
      <c r="P4" s="1168"/>
      <c r="Q4" s="1138"/>
      <c r="T4" s="1136"/>
    </row>
    <row r="5" spans="1:20" ht="14.25" customHeight="1" x14ac:dyDescent="0.3">
      <c r="B5" s="1139" t="s">
        <v>242</v>
      </c>
      <c r="C5" s="1136"/>
      <c r="Q5" s="1138"/>
      <c r="T5" s="1136"/>
    </row>
    <row r="6" spans="1:20" ht="14.25" customHeight="1" x14ac:dyDescent="0.3">
      <c r="B6" s="1139" t="s">
        <v>243</v>
      </c>
      <c r="C6" s="1136"/>
      <c r="Q6" s="1138"/>
      <c r="T6" s="1136"/>
    </row>
    <row r="7" spans="1:20" ht="14.25" customHeight="1" thickBot="1" x14ac:dyDescent="0.35">
      <c r="Q7" s="1138"/>
      <c r="T7" s="1136"/>
    </row>
    <row r="8" spans="1:20" ht="14.25" customHeight="1" thickBot="1" x14ac:dyDescent="0.35">
      <c r="B8" s="1150"/>
      <c r="C8" s="1141" t="s">
        <v>419</v>
      </c>
      <c r="D8" s="1142"/>
      <c r="E8" s="1169" t="s">
        <v>420</v>
      </c>
      <c r="F8" s="1143"/>
      <c r="G8" s="1143" t="s">
        <v>234</v>
      </c>
      <c r="H8" s="1170"/>
      <c r="I8" s="1171" t="s">
        <v>221</v>
      </c>
      <c r="J8" s="1172"/>
      <c r="K8" s="1172"/>
      <c r="L8" s="1173"/>
      <c r="Q8" s="1138"/>
      <c r="T8" s="1136"/>
    </row>
    <row r="9" spans="1:20" ht="14.25" customHeight="1" x14ac:dyDescent="0.3">
      <c r="B9" s="1145" t="s">
        <v>13</v>
      </c>
      <c r="C9" s="1892">
        <v>100</v>
      </c>
      <c r="D9" s="1889"/>
      <c r="E9" s="1893">
        <f>B3</f>
        <v>4.0999999999999996</v>
      </c>
      <c r="F9" s="1894"/>
      <c r="G9" s="1894"/>
      <c r="H9" s="1895"/>
      <c r="I9" s="1896">
        <f>C9+E9</f>
        <v>104.1</v>
      </c>
      <c r="J9" s="1897"/>
      <c r="K9" s="1897"/>
      <c r="L9" s="1898"/>
      <c r="N9" s="1879" t="s">
        <v>224</v>
      </c>
      <c r="O9" s="1879"/>
      <c r="Q9" s="1138"/>
      <c r="T9" s="1136"/>
    </row>
    <row r="10" spans="1:20" ht="14.25" customHeight="1" thickBot="1" x14ac:dyDescent="0.35">
      <c r="B10" s="1146" t="s">
        <v>20</v>
      </c>
      <c r="C10" s="1880"/>
      <c r="D10" s="1881"/>
      <c r="E10" s="1882" t="s">
        <v>245</v>
      </c>
      <c r="F10" s="1883"/>
      <c r="G10" s="1883"/>
      <c r="H10" s="1884"/>
      <c r="I10" s="1885">
        <v>100</v>
      </c>
      <c r="J10" s="1886"/>
      <c r="K10" s="1886"/>
      <c r="L10" s="1887"/>
      <c r="N10" s="1879"/>
      <c r="O10" s="1879"/>
      <c r="Q10" s="1138"/>
      <c r="T10" s="1136"/>
    </row>
    <row r="11" spans="1:20" ht="14.25" customHeight="1" x14ac:dyDescent="0.3">
      <c r="C11" s="1136"/>
      <c r="Q11" s="1138"/>
      <c r="T11" s="1136"/>
    </row>
    <row r="12" spans="1:20" ht="14.25" customHeight="1" x14ac:dyDescent="0.3">
      <c r="B12" s="1174"/>
      <c r="C12" s="1175">
        <f>E9</f>
        <v>4.0999999999999996</v>
      </c>
      <c r="D12" s="1176" t="s">
        <v>3</v>
      </c>
      <c r="E12" s="1888">
        <f>I9</f>
        <v>104.1</v>
      </c>
      <c r="F12" s="1888"/>
      <c r="G12" s="1889"/>
      <c r="K12" s="1147"/>
      <c r="L12" s="1147"/>
      <c r="M12" s="1147"/>
      <c r="Q12" s="1138"/>
      <c r="T12" s="1136"/>
    </row>
    <row r="13" spans="1:20" ht="14.25" customHeight="1" x14ac:dyDescent="0.3">
      <c r="B13" s="1177"/>
      <c r="C13" s="1178" t="str">
        <f>E10</f>
        <v>d</v>
      </c>
      <c r="D13" s="1179"/>
      <c r="E13" s="1890">
        <f>I10</f>
        <v>100</v>
      </c>
      <c r="F13" s="1890"/>
      <c r="G13" s="1891"/>
      <c r="K13" s="1147"/>
      <c r="L13" s="1149"/>
      <c r="M13" s="1149"/>
      <c r="Q13" s="1138"/>
      <c r="T13" s="1136"/>
    </row>
    <row r="14" spans="1:20" ht="14.25" customHeight="1" x14ac:dyDescent="0.3">
      <c r="B14" s="1180"/>
      <c r="C14" s="1180"/>
      <c r="D14" s="1180"/>
      <c r="E14" s="1181"/>
      <c r="F14" s="1182"/>
      <c r="G14" s="1182"/>
      <c r="H14" s="1182"/>
      <c r="I14" s="1181"/>
      <c r="J14" s="1183"/>
      <c r="K14" s="1183"/>
      <c r="L14" s="1183"/>
      <c r="M14" s="1147"/>
      <c r="N14" s="1149"/>
      <c r="O14" s="1149"/>
      <c r="Q14" s="1138"/>
      <c r="T14" s="1136"/>
    </row>
    <row r="15" spans="1:20" ht="14.25" customHeight="1" x14ac:dyDescent="0.3">
      <c r="B15" s="1150"/>
      <c r="C15" s="1151" t="s">
        <v>221</v>
      </c>
      <c r="D15" s="1152"/>
      <c r="E15" s="1152"/>
      <c r="F15" s="1153" t="s">
        <v>220</v>
      </c>
      <c r="G15" s="1153"/>
      <c r="H15" s="1144"/>
      <c r="O15" s="1139"/>
      <c r="P15" s="1139"/>
      <c r="Q15" s="1138"/>
      <c r="T15" s="1136"/>
    </row>
    <row r="16" spans="1:20" ht="14.25" customHeight="1" x14ac:dyDescent="0.3">
      <c r="B16" s="1154" t="s">
        <v>13</v>
      </c>
      <c r="C16" s="1899">
        <f>I9</f>
        <v>104.1</v>
      </c>
      <c r="D16" s="1900"/>
      <c r="E16" s="1901" t="s">
        <v>3</v>
      </c>
      <c r="F16" s="1900">
        <f>C12</f>
        <v>4.0999999999999996</v>
      </c>
      <c r="G16" s="1900"/>
      <c r="H16" s="1903"/>
      <c r="I16" s="1904"/>
      <c r="Q16" s="1138"/>
      <c r="T16" s="1136"/>
    </row>
    <row r="17" spans="1:20" ht="14.25" customHeight="1" x14ac:dyDescent="0.3">
      <c r="B17" s="1155" t="s">
        <v>20</v>
      </c>
      <c r="C17" s="1905">
        <f>E13</f>
        <v>100</v>
      </c>
      <c r="D17" s="1906"/>
      <c r="E17" s="1902"/>
      <c r="F17" s="1883" t="str">
        <f>C13</f>
        <v>d</v>
      </c>
      <c r="G17" s="1883"/>
      <c r="H17" s="1907"/>
      <c r="I17" s="1904"/>
      <c r="Q17" s="1138"/>
      <c r="S17" s="1156"/>
      <c r="T17" s="1136"/>
    </row>
    <row r="18" spans="1:20" s="1157" customFormat="1" ht="14.25" customHeight="1" x14ac:dyDescent="0.3">
      <c r="A18" s="1137"/>
      <c r="Q18" s="1138"/>
    </row>
    <row r="19" spans="1:20" s="1157" customFormat="1" ht="14.25" customHeight="1" x14ac:dyDescent="0.3">
      <c r="A19" s="1137"/>
      <c r="B19" s="1908">
        <f>C16</f>
        <v>104.1</v>
      </c>
      <c r="C19" s="1909"/>
      <c r="D19" s="1184" t="s">
        <v>22</v>
      </c>
      <c r="E19" s="1185" t="str">
        <f>F17</f>
        <v>d</v>
      </c>
      <c r="F19" s="1184" t="s">
        <v>3</v>
      </c>
      <c r="G19" s="1184"/>
      <c r="H19" s="1910">
        <f>C17</f>
        <v>100</v>
      </c>
      <c r="I19" s="1910"/>
      <c r="J19" s="1910"/>
      <c r="K19" s="1186" t="s">
        <v>22</v>
      </c>
      <c r="L19" s="1911">
        <f>F16</f>
        <v>4.0999999999999996</v>
      </c>
      <c r="M19" s="1911"/>
      <c r="N19" s="1912"/>
      <c r="Q19" s="1138"/>
    </row>
    <row r="20" spans="1:20" s="1157" customFormat="1" ht="14.25" customHeight="1" x14ac:dyDescent="0.3">
      <c r="A20" s="1137"/>
      <c r="B20" s="1913" t="str">
        <f>F17</f>
        <v>d</v>
      </c>
      <c r="C20" s="1915" t="s">
        <v>3</v>
      </c>
      <c r="D20" s="1906">
        <f>H19</f>
        <v>100</v>
      </c>
      <c r="E20" s="1906"/>
      <c r="F20" s="1161" t="s">
        <v>22</v>
      </c>
      <c r="G20" s="1888">
        <f>F16</f>
        <v>4.0999999999999996</v>
      </c>
      <c r="H20" s="1888"/>
      <c r="I20" s="1916" t="s">
        <v>3</v>
      </c>
      <c r="J20" s="1918">
        <f>D20*G20/D21</f>
        <v>3.9385206532180592</v>
      </c>
      <c r="K20" s="1918"/>
      <c r="L20" s="1918"/>
      <c r="M20" s="1187"/>
      <c r="N20" s="1188"/>
      <c r="Q20" s="1138"/>
    </row>
    <row r="21" spans="1:20" s="1157" customFormat="1" ht="14.25" customHeight="1" x14ac:dyDescent="0.3">
      <c r="A21" s="1137"/>
      <c r="B21" s="1914"/>
      <c r="C21" s="1902"/>
      <c r="D21" s="1888">
        <f>B19</f>
        <v>104.1</v>
      </c>
      <c r="E21" s="1888"/>
      <c r="F21" s="1888"/>
      <c r="G21" s="1888"/>
      <c r="H21" s="1888"/>
      <c r="I21" s="1917"/>
      <c r="J21" s="1919"/>
      <c r="K21" s="1919"/>
      <c r="L21" s="1919"/>
      <c r="M21" s="1189"/>
      <c r="N21" s="1190"/>
      <c r="Q21" s="1138"/>
    </row>
    <row r="22" spans="1:20" ht="14.25" customHeight="1" x14ac:dyDescent="0.3">
      <c r="B22" s="1163"/>
      <c r="C22" s="1163"/>
      <c r="D22" s="1163"/>
      <c r="E22" s="1163"/>
      <c r="F22" s="1139"/>
      <c r="G22" s="1139"/>
      <c r="H22" s="1139"/>
      <c r="I22" s="1139"/>
      <c r="J22" s="1139"/>
      <c r="K22" s="1139"/>
      <c r="L22" s="1139"/>
      <c r="M22" s="1139"/>
      <c r="Q22" s="1138"/>
      <c r="T22" s="1136"/>
    </row>
    <row r="23" spans="1:20" ht="14.25" customHeight="1" x14ac:dyDescent="0.3">
      <c r="B23" s="1191" t="s">
        <v>244</v>
      </c>
      <c r="C23" s="1162"/>
      <c r="D23" s="1162"/>
      <c r="E23" s="1162"/>
      <c r="F23" s="1170"/>
      <c r="G23" s="1170"/>
      <c r="H23" s="1170"/>
      <c r="I23" s="1170"/>
      <c r="J23" s="1170"/>
      <c r="K23" s="1920">
        <f>J20</f>
        <v>3.9385206532180592</v>
      </c>
      <c r="L23" s="1921"/>
      <c r="M23" s="1922"/>
      <c r="N23" s="1142" t="s">
        <v>13</v>
      </c>
      <c r="O23" s="1139"/>
      <c r="Q23" s="1138"/>
      <c r="T23" s="1136"/>
    </row>
    <row r="24" spans="1:20" ht="14.25" customHeight="1" x14ac:dyDescent="0.3">
      <c r="B24" s="1192">
        <f>I9</f>
        <v>104.1</v>
      </c>
      <c r="C24" s="1193" t="s">
        <v>246</v>
      </c>
      <c r="D24" s="1194">
        <f>K23</f>
        <v>3.9385206532180592</v>
      </c>
      <c r="E24" s="1195" t="s">
        <v>247</v>
      </c>
      <c r="F24" s="1926">
        <f>B24</f>
        <v>104.1</v>
      </c>
      <c r="G24" s="1926"/>
      <c r="H24" s="1196" t="str">
        <f>CONCATENATE("-  (",B24,"x",ROUND(D24,2),"/",D25,")=")</f>
        <v>-  (104,1x3,94/100)=</v>
      </c>
      <c r="I24" s="1196"/>
      <c r="J24" s="1196"/>
      <c r="K24" s="1196"/>
      <c r="L24" s="1924">
        <f>K23</f>
        <v>3.9385206532180592</v>
      </c>
      <c r="M24" s="1924"/>
      <c r="N24" s="1925"/>
      <c r="O24" s="1139"/>
      <c r="Q24" s="1138"/>
      <c r="T24" s="1136"/>
    </row>
    <row r="25" spans="1:20" ht="14.25" customHeight="1" x14ac:dyDescent="0.3">
      <c r="B25" s="1197"/>
      <c r="C25" s="1198"/>
      <c r="D25" s="1199">
        <v>100</v>
      </c>
      <c r="E25" s="1200"/>
      <c r="F25" s="1198"/>
      <c r="G25" s="1198"/>
      <c r="H25" s="1923"/>
      <c r="I25" s="1923"/>
      <c r="J25" s="1923"/>
      <c r="K25" s="1923"/>
      <c r="L25" s="1923"/>
      <c r="M25" s="1198"/>
      <c r="N25" s="1201"/>
      <c r="O25" s="1139"/>
      <c r="Q25" s="1138"/>
      <c r="T25" s="1136"/>
    </row>
    <row r="26" spans="1:20" ht="14.25" customHeight="1" x14ac:dyDescent="0.3">
      <c r="B26" s="1137"/>
      <c r="C26" s="1137"/>
      <c r="D26" s="1137"/>
      <c r="E26" s="1137"/>
      <c r="F26" s="1137"/>
      <c r="G26" s="1137"/>
      <c r="H26" s="1137"/>
      <c r="I26" s="1137"/>
      <c r="J26" s="1137"/>
      <c r="K26" s="1137"/>
      <c r="L26" s="1137"/>
      <c r="M26" s="1137"/>
      <c r="N26" s="1137"/>
      <c r="O26" s="1137"/>
      <c r="P26" s="1137"/>
      <c r="Q26" s="1138"/>
      <c r="T26" s="1136"/>
    </row>
    <row r="27" spans="1:20" ht="14.25" customHeight="1" x14ac:dyDescent="0.3">
      <c r="B27" s="1147"/>
      <c r="C27" s="1147"/>
      <c r="D27" s="1180"/>
      <c r="E27" s="1202"/>
      <c r="F27" s="1180"/>
      <c r="G27" s="1180"/>
      <c r="H27" s="1149"/>
      <c r="I27" s="1149"/>
      <c r="J27" s="1149"/>
      <c r="K27" s="1163"/>
      <c r="L27" s="1147"/>
      <c r="M27" s="1147"/>
      <c r="N27" s="1147"/>
      <c r="O27" s="1139"/>
      <c r="T27" s="1136"/>
    </row>
    <row r="28" spans="1:20" ht="14.25" customHeight="1" x14ac:dyDescent="0.3">
      <c r="B28" s="1164"/>
      <c r="C28" s="1165"/>
      <c r="D28" s="1203"/>
      <c r="E28" s="1203"/>
      <c r="F28" s="1204"/>
      <c r="G28" s="1163"/>
      <c r="H28" s="1205"/>
      <c r="I28" s="1166"/>
      <c r="J28" s="1167"/>
      <c r="K28" s="1167"/>
      <c r="L28" s="1167"/>
      <c r="M28" s="1163"/>
      <c r="N28" s="1163"/>
      <c r="O28" s="1139"/>
      <c r="T28" s="1136"/>
    </row>
    <row r="29" spans="1:20" ht="14.25" customHeight="1" x14ac:dyDescent="0.3">
      <c r="B29" s="1164"/>
      <c r="C29" s="1165"/>
      <c r="D29" s="1147"/>
      <c r="E29" s="1147"/>
      <c r="F29" s="1147"/>
      <c r="G29" s="1147"/>
      <c r="H29" s="1147"/>
      <c r="I29" s="1166"/>
      <c r="J29" s="1167"/>
      <c r="K29" s="1167"/>
      <c r="L29" s="1167"/>
      <c r="M29" s="1163"/>
      <c r="N29" s="1163"/>
      <c r="O29" s="1139"/>
      <c r="T29" s="1136"/>
    </row>
    <row r="30" spans="1:20" ht="14.25" customHeight="1" x14ac:dyDescent="0.3">
      <c r="B30" s="1163"/>
      <c r="C30" s="1164"/>
      <c r="D30" s="1165"/>
      <c r="E30" s="1163"/>
      <c r="F30" s="1163"/>
      <c r="G30" s="1163"/>
      <c r="H30" s="1163"/>
      <c r="I30" s="1166"/>
      <c r="J30" s="1167"/>
      <c r="K30" s="1167"/>
      <c r="L30" s="1167"/>
      <c r="M30" s="1139"/>
      <c r="T30" s="1136"/>
    </row>
    <row r="31" spans="1:20" ht="14.25" customHeight="1" x14ac:dyDescent="0.3">
      <c r="M31" s="1139"/>
      <c r="T31" s="1136"/>
    </row>
    <row r="32" spans="1:20" ht="14.25" customHeight="1" x14ac:dyDescent="0.3">
      <c r="M32" s="1139"/>
      <c r="T32" s="1136"/>
    </row>
    <row r="33" spans="2:20" ht="14.25" customHeight="1" x14ac:dyDescent="0.3">
      <c r="M33" s="1139"/>
      <c r="T33" s="1136"/>
    </row>
    <row r="34" spans="2:20" ht="14.25" customHeight="1" x14ac:dyDescent="0.3">
      <c r="B34" s="1139"/>
      <c r="D34" s="1139"/>
      <c r="E34" s="1139"/>
      <c r="F34" s="1139"/>
      <c r="G34" s="1139"/>
      <c r="H34" s="1139"/>
      <c r="I34" s="1139"/>
      <c r="J34" s="1139"/>
      <c r="K34" s="1139"/>
      <c r="L34" s="1139"/>
      <c r="M34" s="1139"/>
      <c r="T34" s="1136"/>
    </row>
    <row r="35" spans="2:20" ht="14.25" customHeight="1" x14ac:dyDescent="0.3">
      <c r="B35" s="1139"/>
      <c r="D35" s="1139"/>
      <c r="E35" s="1139"/>
      <c r="F35" s="1139"/>
      <c r="G35" s="1139"/>
      <c r="H35" s="1139"/>
      <c r="I35" s="1139"/>
      <c r="J35" s="1139"/>
      <c r="K35" s="1139"/>
      <c r="L35" s="1139"/>
      <c r="M35" s="1139"/>
      <c r="T35" s="1136"/>
    </row>
  </sheetData>
  <mergeCells count="29">
    <mergeCell ref="K23:M23"/>
    <mergeCell ref="H25:L25"/>
    <mergeCell ref="L24:N24"/>
    <mergeCell ref="F24:G24"/>
    <mergeCell ref="G20:H20"/>
    <mergeCell ref="B19:C19"/>
    <mergeCell ref="H19:J19"/>
    <mergeCell ref="L19:N19"/>
    <mergeCell ref="B20:B21"/>
    <mergeCell ref="C20:C21"/>
    <mergeCell ref="D20:E20"/>
    <mergeCell ref="I20:I21"/>
    <mergeCell ref="J20:L21"/>
    <mergeCell ref="D21:H21"/>
    <mergeCell ref="E13:G13"/>
    <mergeCell ref="C9:D9"/>
    <mergeCell ref="E9:H9"/>
    <mergeCell ref="I9:L9"/>
    <mergeCell ref="C16:D16"/>
    <mergeCell ref="E16:E17"/>
    <mergeCell ref="F16:H16"/>
    <mergeCell ref="I16:I17"/>
    <mergeCell ref="C17:D17"/>
    <mergeCell ref="F17:H17"/>
    <mergeCell ref="N9:O10"/>
    <mergeCell ref="C10:D10"/>
    <mergeCell ref="E10:H10"/>
    <mergeCell ref="I10:L10"/>
    <mergeCell ref="E12:G12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T34"/>
  <sheetViews>
    <sheetView workbookViewId="0">
      <selection activeCell="V17" sqref="V17"/>
    </sheetView>
  </sheetViews>
  <sheetFormatPr defaultColWidth="28.09765625" defaultRowHeight="14.25" customHeight="1" x14ac:dyDescent="0.3"/>
  <cols>
    <col min="1" max="1" width="2.19921875" style="825" customWidth="1"/>
    <col min="2" max="2" width="4.3984375" style="828" customWidth="1"/>
    <col min="3" max="3" width="7.5" style="829" customWidth="1"/>
    <col min="4" max="4" width="8.3984375" style="828" customWidth="1"/>
    <col min="5" max="5" width="5.8984375" style="828" customWidth="1"/>
    <col min="6" max="6" width="6.8984375" style="828" customWidth="1"/>
    <col min="7" max="7" width="3.69921875" style="828" customWidth="1"/>
    <col min="8" max="8" width="6.19921875" style="828" customWidth="1"/>
    <col min="9" max="9" width="4.3984375" style="828" customWidth="1"/>
    <col min="10" max="10" width="5.3984375" style="828" customWidth="1"/>
    <col min="11" max="11" width="3.69921875" style="828" customWidth="1"/>
    <col min="12" max="12" width="3.8984375" style="828" customWidth="1"/>
    <col min="13" max="13" width="6.3984375" style="828" customWidth="1"/>
    <col min="14" max="14" width="11.8984375" style="828" customWidth="1"/>
    <col min="15" max="15" width="8.69921875" style="828" customWidth="1"/>
    <col min="16" max="16" width="1.8984375" style="828" bestFit="1" customWidth="1"/>
    <col min="17" max="17" width="10.8984375" style="828" customWidth="1"/>
    <col min="18" max="18" width="5.19921875" style="828" customWidth="1"/>
    <col min="19" max="19" width="10.59765625" style="828" customWidth="1"/>
    <col min="20" max="20" width="10.59765625" style="1305" customWidth="1"/>
    <col min="21" max="30" width="10.59765625" style="828" customWidth="1"/>
    <col min="31" max="16384" width="28.09765625" style="828"/>
  </cols>
  <sheetData>
    <row r="1" spans="1:20" ht="14.25" customHeight="1" x14ac:dyDescent="0.3">
      <c r="A1" s="825" t="str">
        <f>Inicio!J6</f>
        <v>Estudante</v>
      </c>
      <c r="B1" s="825"/>
      <c r="C1" s="826"/>
      <c r="D1" s="825" t="s">
        <v>256</v>
      </c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T1" s="828"/>
    </row>
    <row r="2" spans="1:20" ht="14.25" customHeight="1" x14ac:dyDescent="0.3">
      <c r="B2" s="1139" t="s">
        <v>439</v>
      </c>
      <c r="C2" s="828"/>
      <c r="D2" s="694"/>
      <c r="E2" s="694"/>
      <c r="F2" s="1413">
        <v>18</v>
      </c>
      <c r="G2" s="828" t="s">
        <v>219</v>
      </c>
      <c r="N2" s="1414">
        <v>24000</v>
      </c>
      <c r="P2" s="826"/>
      <c r="T2" s="828"/>
    </row>
    <row r="3" spans="1:20" ht="14.25" customHeight="1" x14ac:dyDescent="0.3">
      <c r="B3" s="1139" t="s">
        <v>233</v>
      </c>
      <c r="C3" s="828"/>
      <c r="P3" s="826"/>
      <c r="T3" s="828"/>
    </row>
    <row r="4" spans="1:20" ht="14.25" customHeight="1" x14ac:dyDescent="0.3">
      <c r="B4" s="1139" t="s">
        <v>228</v>
      </c>
      <c r="C4" s="828"/>
      <c r="P4" s="826"/>
      <c r="T4" s="828"/>
    </row>
    <row r="5" spans="1:20" s="1136" customFormat="1" ht="6.75" customHeight="1" x14ac:dyDescent="0.3">
      <c r="A5" s="1137"/>
      <c r="C5" s="1139"/>
      <c r="P5" s="1138"/>
    </row>
    <row r="6" spans="1:20" s="1136" customFormat="1" ht="14.25" customHeight="1" thickBot="1" x14ac:dyDescent="0.35">
      <c r="A6" s="1137"/>
      <c r="B6" s="1139"/>
      <c r="C6" s="1141" t="s">
        <v>419</v>
      </c>
      <c r="D6" s="1142"/>
      <c r="E6" s="1415" t="s">
        <v>234</v>
      </c>
      <c r="F6" s="1170"/>
      <c r="G6" s="1170"/>
      <c r="H6" s="1142"/>
      <c r="I6" s="1150" t="s">
        <v>438</v>
      </c>
      <c r="J6" s="1152"/>
      <c r="K6" s="1152"/>
      <c r="L6" s="1144"/>
      <c r="P6" s="1138"/>
    </row>
    <row r="7" spans="1:20" s="1136" customFormat="1" ht="14.25" customHeight="1" x14ac:dyDescent="0.3">
      <c r="A7" s="1137"/>
      <c r="B7" s="1145" t="s">
        <v>13</v>
      </c>
      <c r="C7" s="1892">
        <v>100</v>
      </c>
      <c r="D7" s="1889"/>
      <c r="E7" s="1893">
        <f>F2</f>
        <v>18</v>
      </c>
      <c r="F7" s="1894"/>
      <c r="G7" s="1894"/>
      <c r="H7" s="1894"/>
      <c r="I7" s="1896">
        <f>C7-E7</f>
        <v>82</v>
      </c>
      <c r="J7" s="1897"/>
      <c r="K7" s="1897"/>
      <c r="L7" s="1898"/>
      <c r="N7" s="1879" t="s">
        <v>224</v>
      </c>
      <c r="O7" s="1879"/>
      <c r="P7" s="1138"/>
    </row>
    <row r="8" spans="1:20" s="1136" customFormat="1" ht="14.25" customHeight="1" thickBot="1" x14ac:dyDescent="0.35">
      <c r="A8" s="1137"/>
      <c r="B8" s="1146" t="s">
        <v>20</v>
      </c>
      <c r="C8" s="1937" t="s">
        <v>222</v>
      </c>
      <c r="D8" s="1937"/>
      <c r="E8" s="1938" t="s">
        <v>238</v>
      </c>
      <c r="F8" s="1938"/>
      <c r="G8" s="1938"/>
      <c r="H8" s="1882"/>
      <c r="I8" s="1942">
        <f>N2</f>
        <v>24000</v>
      </c>
      <c r="J8" s="1943"/>
      <c r="K8" s="1944"/>
      <c r="L8" s="1945"/>
      <c r="N8" s="1879"/>
      <c r="O8" s="1879"/>
      <c r="P8" s="1138"/>
    </row>
    <row r="9" spans="1:20" s="1136" customFormat="1" ht="4.5" customHeight="1" x14ac:dyDescent="0.3">
      <c r="A9" s="1137"/>
      <c r="P9" s="1138"/>
    </row>
    <row r="10" spans="1:20" s="1136" customFormat="1" ht="14.25" customHeight="1" x14ac:dyDescent="0.3">
      <c r="A10" s="1137"/>
      <c r="B10" s="1139"/>
      <c r="C10" s="1139"/>
      <c r="D10" s="1251">
        <f>C7</f>
        <v>100</v>
      </c>
      <c r="E10" s="1901" t="s">
        <v>3</v>
      </c>
      <c r="F10" s="1935">
        <f>E7</f>
        <v>18</v>
      </c>
      <c r="G10" s="1935"/>
      <c r="H10" s="1935"/>
      <c r="I10" s="1901" t="s">
        <v>3</v>
      </c>
      <c r="J10" s="1900">
        <f>I7</f>
        <v>82</v>
      </c>
      <c r="K10" s="1900"/>
      <c r="L10" s="1900"/>
      <c r="M10" s="1147"/>
      <c r="N10" s="1147"/>
      <c r="O10" s="1147"/>
      <c r="P10" s="1138"/>
    </row>
    <row r="11" spans="1:20" s="1136" customFormat="1" ht="14.25" customHeight="1" x14ac:dyDescent="0.3">
      <c r="A11" s="1137"/>
      <c r="B11" s="1139"/>
      <c r="C11" s="1139"/>
      <c r="D11" s="1148" t="str">
        <f>C8</f>
        <v>V</v>
      </c>
      <c r="E11" s="1901"/>
      <c r="F11" s="1940" t="str">
        <f>E8</f>
        <v>D</v>
      </c>
      <c r="G11" s="1940"/>
      <c r="H11" s="1940"/>
      <c r="I11" s="1901"/>
      <c r="J11" s="1939">
        <f>I8</f>
        <v>24000</v>
      </c>
      <c r="K11" s="1939"/>
      <c r="L11" s="1939"/>
      <c r="M11" s="1147"/>
      <c r="N11" s="1149"/>
      <c r="O11" s="1149"/>
      <c r="P11" s="1138"/>
    </row>
    <row r="12" spans="1:20" s="1136" customFormat="1" ht="14.25" customHeight="1" x14ac:dyDescent="0.3">
      <c r="A12" s="1137"/>
      <c r="B12" s="1150"/>
      <c r="C12" s="1151" t="str">
        <f>I6</f>
        <v>Valor novo</v>
      </c>
      <c r="D12" s="1152"/>
      <c r="E12" s="1152"/>
      <c r="F12" s="1153" t="str">
        <f>E6</f>
        <v>Desconto</v>
      </c>
      <c r="G12" s="1153"/>
      <c r="H12" s="1144"/>
      <c r="O12" s="1139"/>
      <c r="P12" s="1138"/>
    </row>
    <row r="13" spans="1:20" s="1136" customFormat="1" ht="14.25" customHeight="1" x14ac:dyDescent="0.3">
      <c r="A13" s="1137"/>
      <c r="B13" s="1154" t="s">
        <v>13</v>
      </c>
      <c r="C13" s="1899">
        <f>I7</f>
        <v>82</v>
      </c>
      <c r="D13" s="1900"/>
      <c r="E13" s="1901" t="s">
        <v>3</v>
      </c>
      <c r="F13" s="1935">
        <f>F10</f>
        <v>18</v>
      </c>
      <c r="G13" s="1935"/>
      <c r="H13" s="1936"/>
      <c r="I13" s="1931"/>
      <c r="P13" s="1138"/>
    </row>
    <row r="14" spans="1:20" s="1136" customFormat="1" ht="14.25" customHeight="1" x14ac:dyDescent="0.3">
      <c r="A14" s="1137"/>
      <c r="B14" s="1155" t="s">
        <v>20</v>
      </c>
      <c r="C14" s="1933">
        <f>J11</f>
        <v>24000</v>
      </c>
      <c r="D14" s="1934"/>
      <c r="E14" s="1902"/>
      <c r="F14" s="1883" t="str">
        <f>F11</f>
        <v>D</v>
      </c>
      <c r="G14" s="1883"/>
      <c r="H14" s="1907"/>
      <c r="I14" s="1932"/>
      <c r="P14" s="1138"/>
      <c r="S14" s="1156"/>
    </row>
    <row r="15" spans="1:20" s="1157" customFormat="1" ht="8.25" customHeight="1" x14ac:dyDescent="0.3">
      <c r="A15" s="1137"/>
      <c r="N15" s="1136"/>
      <c r="P15" s="1138"/>
    </row>
    <row r="16" spans="1:20" s="1157" customFormat="1" ht="14.25" customHeight="1" x14ac:dyDescent="0.3">
      <c r="A16" s="1137"/>
      <c r="B16" s="1908">
        <f>C13</f>
        <v>82</v>
      </c>
      <c r="C16" s="1909"/>
      <c r="D16" s="1158" t="s">
        <v>22</v>
      </c>
      <c r="E16" s="1159" t="str">
        <f>F14</f>
        <v>D</v>
      </c>
      <c r="F16" s="1158" t="s">
        <v>3</v>
      </c>
      <c r="G16" s="1158"/>
      <c r="H16" s="1910">
        <f>C14</f>
        <v>24000</v>
      </c>
      <c r="I16" s="1910"/>
      <c r="J16" s="1910"/>
      <c r="K16" s="1160" t="s">
        <v>22</v>
      </c>
      <c r="L16" s="1909">
        <f>F13</f>
        <v>18</v>
      </c>
      <c r="M16" s="1909"/>
      <c r="N16" s="1136"/>
      <c r="P16" s="1138"/>
    </row>
    <row r="17" spans="1:16" s="1157" customFormat="1" ht="14.25" customHeight="1" x14ac:dyDescent="0.3">
      <c r="A17" s="1137"/>
      <c r="B17" s="1913" t="str">
        <f>F14</f>
        <v>D</v>
      </c>
      <c r="C17" s="1915" t="s">
        <v>3</v>
      </c>
      <c r="D17" s="1930">
        <f>H16</f>
        <v>24000</v>
      </c>
      <c r="E17" s="1930"/>
      <c r="F17" s="1161" t="s">
        <v>22</v>
      </c>
      <c r="G17" s="1162"/>
      <c r="H17" s="1250">
        <f>F13</f>
        <v>18</v>
      </c>
      <c r="I17" s="1916" t="s">
        <v>3</v>
      </c>
      <c r="J17" s="1918">
        <f>D17*H17/D18</f>
        <v>5268.292682926829</v>
      </c>
      <c r="K17" s="1918"/>
      <c r="L17" s="1927"/>
      <c r="N17" s="1136"/>
      <c r="P17" s="1138"/>
    </row>
    <row r="18" spans="1:16" s="1157" customFormat="1" ht="14.25" customHeight="1" x14ac:dyDescent="0.3">
      <c r="A18" s="1137"/>
      <c r="B18" s="1914"/>
      <c r="C18" s="1902"/>
      <c r="D18" s="1929">
        <f>B16</f>
        <v>82</v>
      </c>
      <c r="E18" s="1929"/>
      <c r="F18" s="1929"/>
      <c r="G18" s="1929"/>
      <c r="H18" s="1929"/>
      <c r="I18" s="1917"/>
      <c r="J18" s="1919"/>
      <c r="K18" s="1919"/>
      <c r="L18" s="1928"/>
      <c r="N18" s="1136"/>
      <c r="P18" s="1138"/>
    </row>
    <row r="19" spans="1:16" s="1136" customFormat="1" ht="5.25" customHeight="1" x14ac:dyDescent="0.3">
      <c r="A19" s="1137"/>
      <c r="B19" s="1163"/>
      <c r="C19" s="1163"/>
      <c r="D19" s="1163"/>
      <c r="E19" s="1163"/>
      <c r="F19" s="1139"/>
      <c r="G19" s="1139"/>
      <c r="H19" s="1139"/>
      <c r="I19" s="1139"/>
      <c r="J19" s="1139"/>
      <c r="K19" s="1139"/>
      <c r="L19" s="1139"/>
      <c r="M19" s="1139"/>
      <c r="P19" s="1138"/>
    </row>
    <row r="20" spans="1:16" s="1136" customFormat="1" ht="14.25" customHeight="1" x14ac:dyDescent="0.3">
      <c r="A20" s="1137"/>
      <c r="B20" s="1150"/>
      <c r="C20" s="1151" t="s">
        <v>221</v>
      </c>
      <c r="D20" s="1152"/>
      <c r="E20" s="1152"/>
      <c r="F20" s="1153" t="str">
        <f>E6</f>
        <v>Desconto</v>
      </c>
      <c r="G20" s="1153"/>
      <c r="H20" s="1144"/>
      <c r="P20" s="1138"/>
    </row>
    <row r="21" spans="1:16" s="1136" customFormat="1" ht="14.25" customHeight="1" x14ac:dyDescent="0.3">
      <c r="A21" s="1137"/>
      <c r="B21" s="1154" t="s">
        <v>13</v>
      </c>
      <c r="C21" s="1899">
        <f>C13</f>
        <v>82</v>
      </c>
      <c r="D21" s="1900"/>
      <c r="E21" s="1901" t="s">
        <v>3</v>
      </c>
      <c r="F21" s="1900">
        <f>C7</f>
        <v>100</v>
      </c>
      <c r="G21" s="1900"/>
      <c r="H21" s="1903"/>
      <c r="I21" s="1931"/>
      <c r="P21" s="1138"/>
    </row>
    <row r="22" spans="1:16" s="1136" customFormat="1" ht="14.25" customHeight="1" x14ac:dyDescent="0.3">
      <c r="A22" s="1137"/>
      <c r="B22" s="1155" t="s">
        <v>20</v>
      </c>
      <c r="C22" s="1933">
        <f>C14</f>
        <v>24000</v>
      </c>
      <c r="D22" s="1934"/>
      <c r="E22" s="1902"/>
      <c r="F22" s="1946" t="s">
        <v>222</v>
      </c>
      <c r="G22" s="1946"/>
      <c r="H22" s="1881"/>
      <c r="I22" s="1932"/>
      <c r="P22" s="1138"/>
    </row>
    <row r="23" spans="1:16" s="1136" customFormat="1" ht="6" customHeight="1" x14ac:dyDescent="0.3">
      <c r="A23" s="1137"/>
      <c r="B23" s="1157"/>
      <c r="C23" s="1157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P23" s="1138"/>
    </row>
    <row r="24" spans="1:16" s="1136" customFormat="1" ht="14.25" customHeight="1" x14ac:dyDescent="0.3">
      <c r="A24" s="1137"/>
      <c r="B24" s="1908">
        <f>C21</f>
        <v>82</v>
      </c>
      <c r="C24" s="1909"/>
      <c r="D24" s="1158" t="s">
        <v>22</v>
      </c>
      <c r="E24" s="1159" t="str">
        <f>F22</f>
        <v>V</v>
      </c>
      <c r="F24" s="1158" t="s">
        <v>3</v>
      </c>
      <c r="G24" s="1158"/>
      <c r="H24" s="1910">
        <f>C22</f>
        <v>24000</v>
      </c>
      <c r="I24" s="1910"/>
      <c r="J24" s="1910"/>
      <c r="K24" s="1160" t="s">
        <v>22</v>
      </c>
      <c r="L24" s="1909">
        <f>F21</f>
        <v>100</v>
      </c>
      <c r="M24" s="1909"/>
      <c r="P24" s="1138"/>
    </row>
    <row r="25" spans="1:16" s="1136" customFormat="1" ht="14.25" customHeight="1" x14ac:dyDescent="0.3">
      <c r="A25" s="1137"/>
      <c r="B25" s="1913" t="str">
        <f>F22</f>
        <v>V</v>
      </c>
      <c r="C25" s="1915" t="s">
        <v>3</v>
      </c>
      <c r="D25" s="1930">
        <f>H24</f>
        <v>24000</v>
      </c>
      <c r="E25" s="1930"/>
      <c r="F25" s="1161" t="s">
        <v>22</v>
      </c>
      <c r="G25" s="1162"/>
      <c r="H25" s="1250">
        <f>F21</f>
        <v>100</v>
      </c>
      <c r="I25" s="1916" t="s">
        <v>3</v>
      </c>
      <c r="J25" s="1918">
        <f>D25*H25/D26</f>
        <v>29268.292682926829</v>
      </c>
      <c r="K25" s="1918"/>
      <c r="L25" s="1927"/>
      <c r="M25" s="1157"/>
      <c r="P25" s="1138"/>
    </row>
    <row r="26" spans="1:16" s="1136" customFormat="1" ht="14.25" customHeight="1" x14ac:dyDescent="0.3">
      <c r="A26" s="1137"/>
      <c r="B26" s="1914"/>
      <c r="C26" s="1902"/>
      <c r="D26" s="1929">
        <f>B24</f>
        <v>82</v>
      </c>
      <c r="E26" s="1929"/>
      <c r="F26" s="1929"/>
      <c r="G26" s="1929"/>
      <c r="H26" s="1929"/>
      <c r="I26" s="1917"/>
      <c r="J26" s="1919"/>
      <c r="K26" s="1919"/>
      <c r="L26" s="1928"/>
      <c r="M26" s="1157"/>
      <c r="P26" s="1138"/>
    </row>
    <row r="27" spans="1:16" s="1136" customFormat="1" ht="5.25" customHeight="1" x14ac:dyDescent="0.3">
      <c r="A27" s="1137"/>
      <c r="B27" s="1163"/>
      <c r="C27" s="1164"/>
      <c r="D27" s="1165"/>
      <c r="E27" s="1163"/>
      <c r="F27" s="1163"/>
      <c r="G27" s="1163"/>
      <c r="H27" s="1163"/>
      <c r="I27" s="1166"/>
      <c r="J27" s="1167"/>
      <c r="K27" s="1167"/>
      <c r="L27" s="1167"/>
      <c r="M27" s="1139"/>
      <c r="P27" s="1138"/>
    </row>
    <row r="28" spans="1:16" s="1136" customFormat="1" ht="14.25" customHeight="1" x14ac:dyDescent="0.3">
      <c r="A28" s="1137"/>
      <c r="B28" s="1163" t="s">
        <v>229</v>
      </c>
      <c r="C28" s="1163"/>
      <c r="D28" s="1163"/>
      <c r="E28" s="1163"/>
      <c r="F28" s="1139"/>
      <c r="G28" s="1139"/>
      <c r="H28" s="1947">
        <f>J17</f>
        <v>5268.292682926829</v>
      </c>
      <c r="I28" s="1948"/>
      <c r="J28" s="1949"/>
      <c r="K28" s="1136" t="s">
        <v>230</v>
      </c>
      <c r="L28" s="1139"/>
      <c r="M28" s="1139"/>
      <c r="P28" s="1138"/>
    </row>
    <row r="29" spans="1:16" s="1136" customFormat="1" ht="14.25" customHeight="1" x14ac:dyDescent="0.3">
      <c r="A29" s="1137"/>
      <c r="B29" s="1139" t="s">
        <v>231</v>
      </c>
      <c r="C29" s="1139"/>
      <c r="D29" s="1139"/>
      <c r="E29" s="1139"/>
      <c r="F29" s="1139"/>
      <c r="H29" s="1947">
        <f>J25</f>
        <v>29268.292682926829</v>
      </c>
      <c r="I29" s="1948"/>
      <c r="J29" s="1949"/>
      <c r="K29" s="1163"/>
      <c r="L29" s="1163"/>
      <c r="M29" s="1139"/>
      <c r="P29" s="1138"/>
    </row>
    <row r="30" spans="1:16" s="1136" customFormat="1" ht="14.25" customHeight="1" x14ac:dyDescent="0.3">
      <c r="A30" s="1137"/>
      <c r="B30" s="1139"/>
      <c r="C30" s="1139"/>
      <c r="D30" s="1139"/>
      <c r="E30" s="1139" t="s">
        <v>221</v>
      </c>
      <c r="F30" s="1139"/>
      <c r="G30" s="1139"/>
      <c r="H30" s="1941">
        <f>H29-H28</f>
        <v>24000</v>
      </c>
      <c r="I30" s="1941"/>
      <c r="J30" s="1941"/>
      <c r="K30" s="1941"/>
      <c r="L30" s="1139"/>
      <c r="M30" s="1139"/>
      <c r="P30" s="1138"/>
    </row>
    <row r="31" spans="1:16" s="1136" customFormat="1" ht="14.25" customHeight="1" x14ac:dyDescent="0.3">
      <c r="A31" s="1137"/>
      <c r="B31" s="1137"/>
      <c r="C31" s="1137"/>
      <c r="D31" s="1137"/>
      <c r="E31" s="1137"/>
      <c r="F31" s="1137"/>
      <c r="G31" s="1137"/>
      <c r="H31" s="1137"/>
      <c r="I31" s="1137"/>
      <c r="J31" s="1137"/>
      <c r="K31" s="1137"/>
      <c r="L31" s="1137"/>
      <c r="M31" s="1137"/>
      <c r="N31" s="1137"/>
      <c r="O31" s="1137"/>
      <c r="P31" s="1138"/>
    </row>
    <row r="32" spans="1:16" s="1136" customFormat="1" ht="14.25" customHeight="1" x14ac:dyDescent="0.3">
      <c r="A32" s="1137"/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</row>
    <row r="33" spans="1:20" s="1136" customFormat="1" ht="14.25" customHeight="1" x14ac:dyDescent="0.3">
      <c r="A33" s="1137"/>
      <c r="C33" s="1139"/>
      <c r="T33" s="694"/>
    </row>
    <row r="34" spans="1:20" s="1136" customFormat="1" ht="14.25" customHeight="1" x14ac:dyDescent="0.3">
      <c r="A34" s="1137"/>
      <c r="C34" s="1139"/>
      <c r="T34" s="694"/>
    </row>
  </sheetData>
  <mergeCells count="46">
    <mergeCell ref="L16:M16"/>
    <mergeCell ref="H30:K30"/>
    <mergeCell ref="I8:L8"/>
    <mergeCell ref="I7:L7"/>
    <mergeCell ref="E7:H7"/>
    <mergeCell ref="F22:H22"/>
    <mergeCell ref="H29:J29"/>
    <mergeCell ref="H28:J28"/>
    <mergeCell ref="L24:M24"/>
    <mergeCell ref="C7:D7"/>
    <mergeCell ref="C8:D8"/>
    <mergeCell ref="E8:H8"/>
    <mergeCell ref="I10:I11"/>
    <mergeCell ref="J10:L10"/>
    <mergeCell ref="J11:L11"/>
    <mergeCell ref="E10:E11"/>
    <mergeCell ref="F10:H10"/>
    <mergeCell ref="F11:H11"/>
    <mergeCell ref="C13:D13"/>
    <mergeCell ref="C14:D14"/>
    <mergeCell ref="E13:E14"/>
    <mergeCell ref="F14:H14"/>
    <mergeCell ref="I13:I14"/>
    <mergeCell ref="F13:H13"/>
    <mergeCell ref="B24:C24"/>
    <mergeCell ref="H24:J24"/>
    <mergeCell ref="N7:O8"/>
    <mergeCell ref="C21:D21"/>
    <mergeCell ref="E21:E22"/>
    <mergeCell ref="F21:H21"/>
    <mergeCell ref="I21:I22"/>
    <mergeCell ref="C22:D22"/>
    <mergeCell ref="B16:C16"/>
    <mergeCell ref="I17:I18"/>
    <mergeCell ref="J17:L18"/>
    <mergeCell ref="H16:J16"/>
    <mergeCell ref="C17:C18"/>
    <mergeCell ref="B17:B18"/>
    <mergeCell ref="D17:E17"/>
    <mergeCell ref="D18:H18"/>
    <mergeCell ref="B25:B26"/>
    <mergeCell ref="C25:C26"/>
    <mergeCell ref="I25:I26"/>
    <mergeCell ref="J25:L26"/>
    <mergeCell ref="D26:H26"/>
    <mergeCell ref="D25:E2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D238"/>
  <sheetViews>
    <sheetView tabSelected="1" workbookViewId="0">
      <selection activeCell="O7" sqref="O7"/>
    </sheetView>
  </sheetViews>
  <sheetFormatPr defaultColWidth="9" defaultRowHeight="15.6" x14ac:dyDescent="0.3"/>
  <cols>
    <col min="1" max="1" width="3.69921875" style="828" customWidth="1"/>
    <col min="2" max="2" width="2.59765625" style="824" customWidth="1"/>
    <col min="3" max="5" width="5.59765625" style="828" customWidth="1"/>
    <col min="6" max="7" width="9" style="828"/>
    <col min="8" max="8" width="6.19921875" style="828" customWidth="1"/>
    <col min="9" max="9" width="6.09765625" style="828" customWidth="1"/>
    <col min="10" max="10" width="5.59765625" style="828" hidden="1" customWidth="1"/>
    <col min="11" max="11" width="12.19921875" style="828" customWidth="1"/>
    <col min="12" max="12" width="9" style="828"/>
    <col min="13" max="13" width="5.69921875" style="828" customWidth="1"/>
    <col min="14" max="14" width="8.69921875" style="828" customWidth="1"/>
    <col min="15" max="15" width="7.3984375" style="828" customWidth="1"/>
    <col min="16" max="16" width="5.69921875" style="828" customWidth="1"/>
    <col min="17" max="17" width="0.8984375" style="828" customWidth="1"/>
    <col min="18" max="18" width="2.69921875" style="828" customWidth="1"/>
    <col min="19" max="16384" width="9" style="828"/>
  </cols>
  <sheetData>
    <row r="1" spans="1:30" x14ac:dyDescent="0.3">
      <c r="B1" s="828"/>
    </row>
    <row r="2" spans="1:30" s="824" customFormat="1" ht="25.5" customHeight="1" x14ac:dyDescent="0.3">
      <c r="A2" s="828"/>
      <c r="C2" s="825" t="str">
        <f>Inicio!J6</f>
        <v>Estudante</v>
      </c>
      <c r="D2" s="825"/>
      <c r="E2" s="826"/>
      <c r="F2" s="825" t="s">
        <v>256</v>
      </c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7"/>
      <c r="T2" s="827"/>
      <c r="U2" s="827"/>
      <c r="V2" s="828"/>
      <c r="W2" s="828"/>
      <c r="X2" s="828"/>
      <c r="Y2" s="828"/>
      <c r="Z2" s="828"/>
      <c r="AA2" s="828"/>
      <c r="AB2" s="828"/>
      <c r="AC2" s="828"/>
      <c r="AD2" s="828"/>
    </row>
    <row r="3" spans="1:30" x14ac:dyDescent="0.3">
      <c r="R3" s="826"/>
    </row>
    <row r="4" spans="1:30" x14ac:dyDescent="0.3">
      <c r="R4" s="826"/>
    </row>
    <row r="5" spans="1:30" x14ac:dyDescent="0.3">
      <c r="Q5" s="829"/>
      <c r="R5" s="826"/>
    </row>
    <row r="6" spans="1:30" x14ac:dyDescent="0.3">
      <c r="Q6" s="829"/>
      <c r="R6" s="826"/>
    </row>
    <row r="7" spans="1:30" x14ac:dyDescent="0.3">
      <c r="Q7" s="829"/>
      <c r="R7" s="826"/>
    </row>
    <row r="8" spans="1:30" ht="16.2" thickBot="1" x14ac:dyDescent="0.35">
      <c r="L8" s="828" t="s">
        <v>313</v>
      </c>
      <c r="N8" s="828" t="s">
        <v>312</v>
      </c>
      <c r="Q8" s="829"/>
      <c r="R8" s="826"/>
    </row>
    <row r="9" spans="1:30" ht="16.2" thickBot="1" x14ac:dyDescent="0.35">
      <c r="I9" s="858"/>
      <c r="J9" s="858"/>
      <c r="K9" s="1102" t="s">
        <v>307</v>
      </c>
      <c r="L9" s="1103">
        <f>L12/3</f>
        <v>3.1</v>
      </c>
      <c r="M9" s="1102" t="s">
        <v>264</v>
      </c>
      <c r="N9" s="1104">
        <f>L9/100</f>
        <v>3.1E-2</v>
      </c>
      <c r="O9" s="877" t="s">
        <v>265</v>
      </c>
      <c r="P9" s="877"/>
      <c r="Q9" s="833"/>
      <c r="R9" s="826"/>
    </row>
    <row r="10" spans="1:30" ht="16.2" thickBot="1" x14ac:dyDescent="0.35">
      <c r="K10" s="828" t="s">
        <v>309</v>
      </c>
      <c r="L10" s="830">
        <f>L12*3</f>
        <v>27.900000000000002</v>
      </c>
      <c r="M10" s="828" t="s">
        <v>264</v>
      </c>
      <c r="N10" s="831">
        <f t="shared" ref="N10:N12" si="0">L10/100</f>
        <v>0.27900000000000003</v>
      </c>
      <c r="O10" s="832" t="s">
        <v>265</v>
      </c>
      <c r="P10" s="832"/>
      <c r="Q10"/>
      <c r="R10" s="826"/>
    </row>
    <row r="11" spans="1:30" ht="16.2" thickBot="1" x14ac:dyDescent="0.35">
      <c r="I11" s="835"/>
      <c r="K11" s="828" t="s">
        <v>308</v>
      </c>
      <c r="L11" s="830">
        <f>L12*2</f>
        <v>18.600000000000001</v>
      </c>
      <c r="M11" s="828" t="s">
        <v>264</v>
      </c>
      <c r="N11" s="831">
        <f t="shared" si="0"/>
        <v>0.18600000000000003</v>
      </c>
      <c r="O11" s="832" t="s">
        <v>265</v>
      </c>
      <c r="P11" s="832"/>
      <c r="Q11" s="829"/>
      <c r="R11" s="826"/>
    </row>
    <row r="12" spans="1:30" ht="16.2" thickBot="1" x14ac:dyDescent="0.35">
      <c r="K12" s="1" t="s">
        <v>456</v>
      </c>
      <c r="L12" s="834">
        <v>9.3000000000000007</v>
      </c>
      <c r="M12" s="828" t="s">
        <v>264</v>
      </c>
      <c r="N12" s="831">
        <f t="shared" si="0"/>
        <v>9.3000000000000013E-2</v>
      </c>
      <c r="O12" s="832" t="s">
        <v>265</v>
      </c>
      <c r="P12" s="832"/>
      <c r="Q12" s="829"/>
      <c r="R12" s="826"/>
    </row>
    <row r="13" spans="1:30" x14ac:dyDescent="0.3">
      <c r="J13" s="1498" t="s">
        <v>455</v>
      </c>
      <c r="K13" s="1499"/>
      <c r="L13" s="823">
        <v>1757</v>
      </c>
      <c r="M13" s="828" t="s">
        <v>270</v>
      </c>
      <c r="N13" s="831">
        <f>L13</f>
        <v>1757</v>
      </c>
      <c r="O13" s="832" t="str">
        <f>M13</f>
        <v>kg/m³</v>
      </c>
      <c r="P13" s="832"/>
      <c r="Q13" s="829"/>
      <c r="R13" s="826"/>
    </row>
    <row r="14" spans="1:30" x14ac:dyDescent="0.3">
      <c r="J14" s="828" t="s">
        <v>304</v>
      </c>
      <c r="K14" s="1" t="s">
        <v>454</v>
      </c>
      <c r="L14" s="823">
        <v>6</v>
      </c>
      <c r="N14" s="836">
        <f>L14</f>
        <v>6</v>
      </c>
      <c r="O14" s="1" t="s">
        <v>319</v>
      </c>
      <c r="P14" s="1"/>
      <c r="R14" s="826"/>
    </row>
    <row r="15" spans="1:30" x14ac:dyDescent="0.3">
      <c r="C15" s="1" t="s">
        <v>410</v>
      </c>
      <c r="H15" s="838" t="str">
        <f>CONCATENATE(N10,"m x",N11,"m x",N12,"m     =  ")</f>
        <v xml:space="preserve">0,279m x0,186m x0,093m     =  </v>
      </c>
      <c r="I15" s="838"/>
      <c r="J15" s="838"/>
      <c r="K15" s="838"/>
      <c r="L15" s="839"/>
      <c r="M15" s="1500">
        <f>N10*N11*N12</f>
        <v>4.8261420000000011E-3</v>
      </c>
      <c r="N15" s="1500"/>
      <c r="O15" s="828" t="s">
        <v>263</v>
      </c>
      <c r="R15" s="826"/>
    </row>
    <row r="16" spans="1:30" x14ac:dyDescent="0.3">
      <c r="C16" s="841" t="str">
        <f>CONCATENATE("2º Volume de ",L14,"milheiros=",L14*1000*M15)</f>
        <v>2º Volume de 6milheiros=28,956852</v>
      </c>
      <c r="D16" s="841"/>
      <c r="E16" s="841"/>
      <c r="F16" s="841"/>
      <c r="G16" s="841"/>
      <c r="H16" s="842" t="str">
        <f>CONCATENATE(L14*1000,"x",N10,"m x",N11,"m x",N12,"m     =  ")</f>
        <v xml:space="preserve">6000x0,279m x0,186m x0,093m     =  </v>
      </c>
      <c r="I16" s="842"/>
      <c r="J16" s="842"/>
      <c r="K16" s="842"/>
      <c r="L16" s="843"/>
      <c r="M16" s="1504">
        <f>L14*1000*N10*N11*N12</f>
        <v>28.956852000000012</v>
      </c>
      <c r="N16" s="1504"/>
      <c r="O16" s="841" t="s">
        <v>263</v>
      </c>
      <c r="P16" s="1" t="s">
        <v>412</v>
      </c>
      <c r="R16" s="826"/>
    </row>
    <row r="17" spans="2:18" s="1111" customFormat="1" ht="14.25" customHeight="1" x14ac:dyDescent="0.3">
      <c r="B17" s="1112"/>
      <c r="C17" s="1113" t="str">
        <f>CONCATENATE("3º  Volume de 4 cilindros: 4 x( 3,14x(",ROUND(N9,4),"/2)² x ",N12,") = ")</f>
        <v xml:space="preserve">3º  Volume de 4 cilindros: 4 x( 3,14x(0,031/2)² x 0,093) = </v>
      </c>
      <c r="D17" s="1113"/>
      <c r="E17" s="1113"/>
      <c r="F17" s="1113"/>
      <c r="G17" s="1113"/>
      <c r="H17" s="1113"/>
      <c r="I17" s="1113"/>
      <c r="J17" s="1113"/>
      <c r="K17" s="1113"/>
      <c r="L17" s="1113"/>
      <c r="M17" s="1501">
        <f>4*(3.14*(N9/2)^2*N12)</f>
        <v>2.8063122000000003E-4</v>
      </c>
      <c r="N17" s="1501"/>
      <c r="O17" s="1111" t="s">
        <v>263</v>
      </c>
      <c r="R17" s="1114"/>
    </row>
    <row r="18" spans="2:18" x14ac:dyDescent="0.3">
      <c r="C18" s="1109" t="s">
        <v>413</v>
      </c>
      <c r="D18" s="1109"/>
      <c r="E18" s="1109"/>
      <c r="F18" s="1109"/>
      <c r="G18" s="1109"/>
      <c r="H18" s="1109"/>
      <c r="I18" s="1109"/>
      <c r="J18" s="1109"/>
      <c r="K18" s="1109"/>
      <c r="L18" s="1110"/>
      <c r="M18" s="1502">
        <f>M15-M17</f>
        <v>4.5455107800000012E-3</v>
      </c>
      <c r="N18" s="1502"/>
      <c r="O18" s="1111" t="s">
        <v>263</v>
      </c>
      <c r="P18" s="1111"/>
      <c r="R18" s="826"/>
    </row>
    <row r="19" spans="2:18" x14ac:dyDescent="0.3">
      <c r="C19" s="822" t="s">
        <v>315</v>
      </c>
      <c r="D19" s="846"/>
      <c r="E19" s="846"/>
      <c r="F19" s="846"/>
      <c r="G19" s="846"/>
      <c r="H19" s="846"/>
      <c r="I19" s="846"/>
      <c r="J19" s="846"/>
      <c r="K19" s="846"/>
      <c r="L19" s="846"/>
      <c r="M19" s="1503">
        <f>M18*L13*L14*1000</f>
        <v>47918.774642760014</v>
      </c>
      <c r="N19" s="1503"/>
      <c r="O19" s="847" t="s">
        <v>270</v>
      </c>
      <c r="P19" s="847"/>
      <c r="Q19" s="848"/>
      <c r="R19" s="826"/>
    </row>
    <row r="20" spans="2:18" x14ac:dyDescent="0.3">
      <c r="M20" s="1505">
        <f>M19/1000</f>
        <v>47.918774642760013</v>
      </c>
      <c r="N20" s="1506"/>
      <c r="O20" s="1" t="s">
        <v>316</v>
      </c>
      <c r="P20" s="1"/>
      <c r="R20" s="826"/>
    </row>
    <row r="21" spans="2:18" x14ac:dyDescent="0.3"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24"/>
    </row>
    <row r="22" spans="2:18" x14ac:dyDescent="0.3">
      <c r="B22" s="828"/>
      <c r="D22" s="1497"/>
      <c r="E22" s="1497"/>
      <c r="F22" s="1497"/>
      <c r="G22" s="1497"/>
    </row>
    <row r="23" spans="2:18" x14ac:dyDescent="0.3">
      <c r="B23" s="828"/>
    </row>
    <row r="24" spans="2:18" x14ac:dyDescent="0.3">
      <c r="B24" s="828"/>
    </row>
    <row r="25" spans="2:18" x14ac:dyDescent="0.3">
      <c r="B25" s="828"/>
    </row>
    <row r="26" spans="2:18" x14ac:dyDescent="0.3">
      <c r="B26" s="828"/>
    </row>
    <row r="27" spans="2:18" x14ac:dyDescent="0.3">
      <c r="B27" s="828"/>
    </row>
    <row r="28" spans="2:18" x14ac:dyDescent="0.3">
      <c r="B28" s="828"/>
    </row>
    <row r="29" spans="2:18" x14ac:dyDescent="0.3">
      <c r="B29" s="828"/>
    </row>
    <row r="30" spans="2:18" x14ac:dyDescent="0.3">
      <c r="B30" s="828"/>
    </row>
    <row r="31" spans="2:18" x14ac:dyDescent="0.3">
      <c r="B31" s="828"/>
    </row>
    <row r="32" spans="2:18" x14ac:dyDescent="0.3">
      <c r="B32" s="828"/>
    </row>
    <row r="33" spans="2:2" x14ac:dyDescent="0.3">
      <c r="B33" s="828"/>
    </row>
    <row r="34" spans="2:2" x14ac:dyDescent="0.3">
      <c r="B34" s="828"/>
    </row>
    <row r="35" spans="2:2" x14ac:dyDescent="0.3">
      <c r="B35" s="828"/>
    </row>
    <row r="36" spans="2:2" x14ac:dyDescent="0.3">
      <c r="B36" s="828"/>
    </row>
    <row r="37" spans="2:2" x14ac:dyDescent="0.3">
      <c r="B37" s="828"/>
    </row>
    <row r="38" spans="2:2" x14ac:dyDescent="0.3">
      <c r="B38" s="828"/>
    </row>
    <row r="39" spans="2:2" x14ac:dyDescent="0.3">
      <c r="B39" s="828"/>
    </row>
    <row r="40" spans="2:2" x14ac:dyDescent="0.3">
      <c r="B40" s="828"/>
    </row>
    <row r="41" spans="2:2" x14ac:dyDescent="0.3">
      <c r="B41" s="828"/>
    </row>
    <row r="42" spans="2:2" x14ac:dyDescent="0.3">
      <c r="B42" s="828"/>
    </row>
    <row r="43" spans="2:2" x14ac:dyDescent="0.3">
      <c r="B43" s="828"/>
    </row>
    <row r="44" spans="2:2" x14ac:dyDescent="0.3">
      <c r="B44" s="828"/>
    </row>
    <row r="45" spans="2:2" x14ac:dyDescent="0.3">
      <c r="B45" s="828"/>
    </row>
    <row r="46" spans="2:2" x14ac:dyDescent="0.3">
      <c r="B46" s="828"/>
    </row>
    <row r="47" spans="2:2" x14ac:dyDescent="0.3">
      <c r="B47" s="828"/>
    </row>
    <row r="48" spans="2:2" x14ac:dyDescent="0.3">
      <c r="B48" s="828"/>
    </row>
    <row r="49" spans="2:2" x14ac:dyDescent="0.3">
      <c r="B49" s="828"/>
    </row>
    <row r="50" spans="2:2" x14ac:dyDescent="0.3">
      <c r="B50" s="828"/>
    </row>
    <row r="51" spans="2:2" x14ac:dyDescent="0.3">
      <c r="B51" s="828"/>
    </row>
    <row r="52" spans="2:2" x14ac:dyDescent="0.3">
      <c r="B52" s="828"/>
    </row>
    <row r="53" spans="2:2" x14ac:dyDescent="0.3">
      <c r="B53" s="828"/>
    </row>
    <row r="54" spans="2:2" x14ac:dyDescent="0.3">
      <c r="B54" s="828"/>
    </row>
    <row r="55" spans="2:2" x14ac:dyDescent="0.3">
      <c r="B55" s="828"/>
    </row>
    <row r="56" spans="2:2" x14ac:dyDescent="0.3">
      <c r="B56" s="828"/>
    </row>
    <row r="57" spans="2:2" x14ac:dyDescent="0.3">
      <c r="B57" s="828"/>
    </row>
    <row r="58" spans="2:2" x14ac:dyDescent="0.3">
      <c r="B58" s="828"/>
    </row>
    <row r="59" spans="2:2" x14ac:dyDescent="0.3">
      <c r="B59" s="828"/>
    </row>
    <row r="60" spans="2:2" x14ac:dyDescent="0.3">
      <c r="B60" s="828"/>
    </row>
    <row r="61" spans="2:2" x14ac:dyDescent="0.3">
      <c r="B61" s="828"/>
    </row>
    <row r="62" spans="2:2" x14ac:dyDescent="0.3">
      <c r="B62" s="828"/>
    </row>
    <row r="63" spans="2:2" x14ac:dyDescent="0.3">
      <c r="B63" s="828"/>
    </row>
    <row r="64" spans="2:2" x14ac:dyDescent="0.3">
      <c r="B64" s="828"/>
    </row>
    <row r="65" spans="2:2" x14ac:dyDescent="0.3">
      <c r="B65" s="828"/>
    </row>
    <row r="66" spans="2:2" x14ac:dyDescent="0.3">
      <c r="B66" s="828"/>
    </row>
    <row r="67" spans="2:2" x14ac:dyDescent="0.3">
      <c r="B67" s="828"/>
    </row>
    <row r="68" spans="2:2" x14ac:dyDescent="0.3">
      <c r="B68" s="828"/>
    </row>
    <row r="69" spans="2:2" x14ac:dyDescent="0.3">
      <c r="B69" s="828"/>
    </row>
    <row r="70" spans="2:2" x14ac:dyDescent="0.3">
      <c r="B70" s="828"/>
    </row>
    <row r="71" spans="2:2" x14ac:dyDescent="0.3">
      <c r="B71" s="828"/>
    </row>
    <row r="72" spans="2:2" x14ac:dyDescent="0.3">
      <c r="B72" s="828"/>
    </row>
    <row r="73" spans="2:2" x14ac:dyDescent="0.3">
      <c r="B73" s="828"/>
    </row>
    <row r="74" spans="2:2" x14ac:dyDescent="0.3">
      <c r="B74" s="828"/>
    </row>
    <row r="75" spans="2:2" x14ac:dyDescent="0.3">
      <c r="B75" s="828"/>
    </row>
    <row r="76" spans="2:2" x14ac:dyDescent="0.3">
      <c r="B76" s="828"/>
    </row>
    <row r="77" spans="2:2" x14ac:dyDescent="0.3">
      <c r="B77" s="828"/>
    </row>
    <row r="78" spans="2:2" x14ac:dyDescent="0.3">
      <c r="B78" s="828"/>
    </row>
    <row r="79" spans="2:2" x14ac:dyDescent="0.3">
      <c r="B79" s="828"/>
    </row>
    <row r="80" spans="2:2" x14ac:dyDescent="0.3">
      <c r="B80" s="828"/>
    </row>
    <row r="81" spans="2:2" x14ac:dyDescent="0.3">
      <c r="B81" s="828"/>
    </row>
    <row r="82" spans="2:2" x14ac:dyDescent="0.3">
      <c r="B82" s="828"/>
    </row>
    <row r="83" spans="2:2" x14ac:dyDescent="0.3">
      <c r="B83" s="828"/>
    </row>
    <row r="84" spans="2:2" x14ac:dyDescent="0.3">
      <c r="B84" s="828"/>
    </row>
    <row r="85" spans="2:2" x14ac:dyDescent="0.3">
      <c r="B85" s="828"/>
    </row>
    <row r="86" spans="2:2" x14ac:dyDescent="0.3">
      <c r="B86" s="828"/>
    </row>
    <row r="87" spans="2:2" x14ac:dyDescent="0.3">
      <c r="B87" s="828"/>
    </row>
    <row r="88" spans="2:2" x14ac:dyDescent="0.3">
      <c r="B88" s="828"/>
    </row>
    <row r="89" spans="2:2" x14ac:dyDescent="0.3">
      <c r="B89" s="828"/>
    </row>
    <row r="90" spans="2:2" x14ac:dyDescent="0.3">
      <c r="B90" s="828"/>
    </row>
    <row r="91" spans="2:2" x14ac:dyDescent="0.3">
      <c r="B91" s="828"/>
    </row>
    <row r="92" spans="2:2" x14ac:dyDescent="0.3">
      <c r="B92" s="828"/>
    </row>
    <row r="93" spans="2:2" x14ac:dyDescent="0.3">
      <c r="B93" s="828"/>
    </row>
    <row r="94" spans="2:2" x14ac:dyDescent="0.3">
      <c r="B94" s="828"/>
    </row>
    <row r="95" spans="2:2" x14ac:dyDescent="0.3">
      <c r="B95" s="828"/>
    </row>
    <row r="96" spans="2:2" x14ac:dyDescent="0.3">
      <c r="B96" s="828"/>
    </row>
    <row r="97" spans="2:2" x14ac:dyDescent="0.3">
      <c r="B97" s="828"/>
    </row>
    <row r="98" spans="2:2" x14ac:dyDescent="0.3">
      <c r="B98" s="828"/>
    </row>
    <row r="99" spans="2:2" x14ac:dyDescent="0.3">
      <c r="B99" s="828"/>
    </row>
    <row r="100" spans="2:2" x14ac:dyDescent="0.3">
      <c r="B100" s="828"/>
    </row>
    <row r="101" spans="2:2" x14ac:dyDescent="0.3">
      <c r="B101" s="828"/>
    </row>
    <row r="102" spans="2:2" x14ac:dyDescent="0.3">
      <c r="B102" s="828"/>
    </row>
    <row r="103" spans="2:2" x14ac:dyDescent="0.3">
      <c r="B103" s="828"/>
    </row>
    <row r="104" spans="2:2" x14ac:dyDescent="0.3">
      <c r="B104" s="828"/>
    </row>
    <row r="105" spans="2:2" x14ac:dyDescent="0.3">
      <c r="B105" s="828"/>
    </row>
    <row r="106" spans="2:2" x14ac:dyDescent="0.3">
      <c r="B106" s="828"/>
    </row>
    <row r="107" spans="2:2" x14ac:dyDescent="0.3">
      <c r="B107" s="828"/>
    </row>
    <row r="108" spans="2:2" x14ac:dyDescent="0.3">
      <c r="B108" s="828"/>
    </row>
    <row r="109" spans="2:2" x14ac:dyDescent="0.3">
      <c r="B109" s="828"/>
    </row>
    <row r="110" spans="2:2" x14ac:dyDescent="0.3">
      <c r="B110" s="828"/>
    </row>
    <row r="111" spans="2:2" x14ac:dyDescent="0.3">
      <c r="B111" s="828"/>
    </row>
    <row r="112" spans="2:2" x14ac:dyDescent="0.3">
      <c r="B112" s="828"/>
    </row>
    <row r="113" spans="2:2" x14ac:dyDescent="0.3">
      <c r="B113" s="828"/>
    </row>
    <row r="114" spans="2:2" x14ac:dyDescent="0.3">
      <c r="B114" s="828"/>
    </row>
    <row r="115" spans="2:2" x14ac:dyDescent="0.3">
      <c r="B115" s="828"/>
    </row>
    <row r="116" spans="2:2" x14ac:dyDescent="0.3">
      <c r="B116" s="828"/>
    </row>
    <row r="117" spans="2:2" x14ac:dyDescent="0.3">
      <c r="B117" s="828"/>
    </row>
    <row r="118" spans="2:2" x14ac:dyDescent="0.3">
      <c r="B118" s="828"/>
    </row>
    <row r="119" spans="2:2" x14ac:dyDescent="0.3">
      <c r="B119" s="828"/>
    </row>
    <row r="120" spans="2:2" x14ac:dyDescent="0.3">
      <c r="B120" s="828"/>
    </row>
    <row r="121" spans="2:2" x14ac:dyDescent="0.3">
      <c r="B121" s="828"/>
    </row>
    <row r="122" spans="2:2" x14ac:dyDescent="0.3">
      <c r="B122" s="828"/>
    </row>
    <row r="123" spans="2:2" x14ac:dyDescent="0.3">
      <c r="B123" s="828"/>
    </row>
    <row r="124" spans="2:2" x14ac:dyDescent="0.3">
      <c r="B124" s="828"/>
    </row>
    <row r="125" spans="2:2" x14ac:dyDescent="0.3">
      <c r="B125" s="828"/>
    </row>
    <row r="126" spans="2:2" x14ac:dyDescent="0.3">
      <c r="B126" s="828"/>
    </row>
    <row r="127" spans="2:2" x14ac:dyDescent="0.3">
      <c r="B127" s="828"/>
    </row>
    <row r="128" spans="2:2" x14ac:dyDescent="0.3">
      <c r="B128" s="828"/>
    </row>
    <row r="129" spans="2:2" x14ac:dyDescent="0.3">
      <c r="B129" s="828"/>
    </row>
    <row r="130" spans="2:2" x14ac:dyDescent="0.3">
      <c r="B130" s="828"/>
    </row>
    <row r="131" spans="2:2" x14ac:dyDescent="0.3">
      <c r="B131" s="828"/>
    </row>
    <row r="132" spans="2:2" x14ac:dyDescent="0.3">
      <c r="B132" s="828"/>
    </row>
    <row r="133" spans="2:2" x14ac:dyDescent="0.3">
      <c r="B133" s="828"/>
    </row>
    <row r="134" spans="2:2" x14ac:dyDescent="0.3">
      <c r="B134" s="828"/>
    </row>
    <row r="135" spans="2:2" x14ac:dyDescent="0.3">
      <c r="B135" s="828"/>
    </row>
    <row r="136" spans="2:2" x14ac:dyDescent="0.3">
      <c r="B136" s="828"/>
    </row>
    <row r="137" spans="2:2" x14ac:dyDescent="0.3">
      <c r="B137" s="828"/>
    </row>
    <row r="138" spans="2:2" x14ac:dyDescent="0.3">
      <c r="B138" s="828"/>
    </row>
    <row r="139" spans="2:2" x14ac:dyDescent="0.3">
      <c r="B139" s="828"/>
    </row>
    <row r="140" spans="2:2" x14ac:dyDescent="0.3">
      <c r="B140" s="828"/>
    </row>
    <row r="141" spans="2:2" x14ac:dyDescent="0.3">
      <c r="B141" s="828"/>
    </row>
    <row r="142" spans="2:2" x14ac:dyDescent="0.3">
      <c r="B142" s="828"/>
    </row>
    <row r="143" spans="2:2" x14ac:dyDescent="0.3">
      <c r="B143" s="828"/>
    </row>
    <row r="144" spans="2:2" x14ac:dyDescent="0.3">
      <c r="B144" s="828"/>
    </row>
    <row r="145" spans="2:2" x14ac:dyDescent="0.3">
      <c r="B145" s="828"/>
    </row>
    <row r="146" spans="2:2" x14ac:dyDescent="0.3">
      <c r="B146" s="828"/>
    </row>
    <row r="147" spans="2:2" x14ac:dyDescent="0.3">
      <c r="B147" s="828"/>
    </row>
    <row r="148" spans="2:2" x14ac:dyDescent="0.3">
      <c r="B148" s="828"/>
    </row>
    <row r="149" spans="2:2" x14ac:dyDescent="0.3">
      <c r="B149" s="828"/>
    </row>
    <row r="150" spans="2:2" x14ac:dyDescent="0.3">
      <c r="B150" s="828"/>
    </row>
    <row r="151" spans="2:2" x14ac:dyDescent="0.3">
      <c r="B151" s="828"/>
    </row>
    <row r="152" spans="2:2" x14ac:dyDescent="0.3">
      <c r="B152" s="828"/>
    </row>
    <row r="153" spans="2:2" x14ac:dyDescent="0.3">
      <c r="B153" s="828"/>
    </row>
    <row r="154" spans="2:2" x14ac:dyDescent="0.3">
      <c r="B154" s="828"/>
    </row>
    <row r="155" spans="2:2" x14ac:dyDescent="0.3">
      <c r="B155" s="828"/>
    </row>
    <row r="156" spans="2:2" x14ac:dyDescent="0.3">
      <c r="B156" s="828"/>
    </row>
    <row r="157" spans="2:2" x14ac:dyDescent="0.3">
      <c r="B157" s="828"/>
    </row>
    <row r="158" spans="2:2" x14ac:dyDescent="0.3">
      <c r="B158" s="828"/>
    </row>
    <row r="159" spans="2:2" x14ac:dyDescent="0.3">
      <c r="B159" s="828"/>
    </row>
    <row r="160" spans="2:2" x14ac:dyDescent="0.3">
      <c r="B160" s="828"/>
    </row>
    <row r="161" spans="2:2" x14ac:dyDescent="0.3">
      <c r="B161" s="828"/>
    </row>
    <row r="162" spans="2:2" x14ac:dyDescent="0.3">
      <c r="B162" s="828"/>
    </row>
    <row r="163" spans="2:2" x14ac:dyDescent="0.3">
      <c r="B163" s="828"/>
    </row>
    <row r="164" spans="2:2" x14ac:dyDescent="0.3">
      <c r="B164" s="828"/>
    </row>
    <row r="165" spans="2:2" x14ac:dyDescent="0.3">
      <c r="B165" s="828"/>
    </row>
    <row r="166" spans="2:2" x14ac:dyDescent="0.3">
      <c r="B166" s="828"/>
    </row>
    <row r="167" spans="2:2" x14ac:dyDescent="0.3">
      <c r="B167" s="828"/>
    </row>
    <row r="168" spans="2:2" x14ac:dyDescent="0.3">
      <c r="B168" s="828"/>
    </row>
    <row r="169" spans="2:2" x14ac:dyDescent="0.3">
      <c r="B169" s="828"/>
    </row>
    <row r="170" spans="2:2" x14ac:dyDescent="0.3">
      <c r="B170" s="828"/>
    </row>
    <row r="171" spans="2:2" x14ac:dyDescent="0.3">
      <c r="B171" s="828"/>
    </row>
    <row r="172" spans="2:2" x14ac:dyDescent="0.3">
      <c r="B172" s="828"/>
    </row>
    <row r="173" spans="2:2" x14ac:dyDescent="0.3">
      <c r="B173" s="828"/>
    </row>
    <row r="174" spans="2:2" x14ac:dyDescent="0.3">
      <c r="B174" s="828"/>
    </row>
    <row r="175" spans="2:2" x14ac:dyDescent="0.3">
      <c r="B175" s="828"/>
    </row>
    <row r="176" spans="2:2" x14ac:dyDescent="0.3">
      <c r="B176" s="828"/>
    </row>
    <row r="177" spans="2:2" x14ac:dyDescent="0.3">
      <c r="B177" s="828"/>
    </row>
    <row r="178" spans="2:2" x14ac:dyDescent="0.3">
      <c r="B178" s="828"/>
    </row>
    <row r="179" spans="2:2" x14ac:dyDescent="0.3">
      <c r="B179" s="828"/>
    </row>
    <row r="180" spans="2:2" x14ac:dyDescent="0.3">
      <c r="B180" s="828"/>
    </row>
    <row r="181" spans="2:2" x14ac:dyDescent="0.3">
      <c r="B181" s="828"/>
    </row>
    <row r="182" spans="2:2" x14ac:dyDescent="0.3">
      <c r="B182" s="828"/>
    </row>
    <row r="183" spans="2:2" x14ac:dyDescent="0.3">
      <c r="B183" s="828"/>
    </row>
    <row r="184" spans="2:2" x14ac:dyDescent="0.3">
      <c r="B184" s="828"/>
    </row>
    <row r="185" spans="2:2" x14ac:dyDescent="0.3">
      <c r="B185" s="828"/>
    </row>
    <row r="186" spans="2:2" x14ac:dyDescent="0.3">
      <c r="B186" s="828"/>
    </row>
    <row r="187" spans="2:2" x14ac:dyDescent="0.3">
      <c r="B187" s="828"/>
    </row>
    <row r="188" spans="2:2" x14ac:dyDescent="0.3">
      <c r="B188" s="828"/>
    </row>
    <row r="189" spans="2:2" x14ac:dyDescent="0.3">
      <c r="B189" s="828"/>
    </row>
    <row r="190" spans="2:2" x14ac:dyDescent="0.3">
      <c r="B190" s="828"/>
    </row>
    <row r="191" spans="2:2" x14ac:dyDescent="0.3">
      <c r="B191" s="828"/>
    </row>
    <row r="192" spans="2:2" x14ac:dyDescent="0.3">
      <c r="B192" s="828"/>
    </row>
    <row r="193" spans="2:2" x14ac:dyDescent="0.3">
      <c r="B193" s="828"/>
    </row>
    <row r="194" spans="2:2" x14ac:dyDescent="0.3">
      <c r="B194" s="828"/>
    </row>
    <row r="195" spans="2:2" x14ac:dyDescent="0.3">
      <c r="B195" s="828"/>
    </row>
    <row r="196" spans="2:2" x14ac:dyDescent="0.3">
      <c r="B196" s="828"/>
    </row>
    <row r="197" spans="2:2" x14ac:dyDescent="0.3">
      <c r="B197" s="828"/>
    </row>
    <row r="198" spans="2:2" x14ac:dyDescent="0.3">
      <c r="B198" s="828"/>
    </row>
    <row r="199" spans="2:2" x14ac:dyDescent="0.3">
      <c r="B199" s="828"/>
    </row>
    <row r="200" spans="2:2" x14ac:dyDescent="0.3">
      <c r="B200" s="828"/>
    </row>
    <row r="201" spans="2:2" x14ac:dyDescent="0.3">
      <c r="B201" s="828"/>
    </row>
    <row r="202" spans="2:2" x14ac:dyDescent="0.3">
      <c r="B202" s="828"/>
    </row>
    <row r="203" spans="2:2" x14ac:dyDescent="0.3">
      <c r="B203" s="828"/>
    </row>
    <row r="204" spans="2:2" x14ac:dyDescent="0.3">
      <c r="B204" s="828"/>
    </row>
    <row r="205" spans="2:2" x14ac:dyDescent="0.3">
      <c r="B205" s="828"/>
    </row>
    <row r="206" spans="2:2" x14ac:dyDescent="0.3">
      <c r="B206" s="828"/>
    </row>
    <row r="207" spans="2:2" x14ac:dyDescent="0.3">
      <c r="B207" s="828"/>
    </row>
    <row r="208" spans="2:2" x14ac:dyDescent="0.3">
      <c r="B208" s="828"/>
    </row>
    <row r="209" spans="2:2" x14ac:dyDescent="0.3">
      <c r="B209" s="828"/>
    </row>
    <row r="210" spans="2:2" x14ac:dyDescent="0.3">
      <c r="B210" s="828"/>
    </row>
    <row r="211" spans="2:2" x14ac:dyDescent="0.3">
      <c r="B211" s="828"/>
    </row>
    <row r="212" spans="2:2" x14ac:dyDescent="0.3">
      <c r="B212" s="828"/>
    </row>
    <row r="213" spans="2:2" x14ac:dyDescent="0.3">
      <c r="B213" s="828"/>
    </row>
    <row r="214" spans="2:2" x14ac:dyDescent="0.3">
      <c r="B214" s="828"/>
    </row>
    <row r="215" spans="2:2" x14ac:dyDescent="0.3">
      <c r="B215" s="828"/>
    </row>
    <row r="216" spans="2:2" x14ac:dyDescent="0.3">
      <c r="B216" s="828"/>
    </row>
    <row r="217" spans="2:2" x14ac:dyDescent="0.3">
      <c r="B217" s="828"/>
    </row>
    <row r="218" spans="2:2" x14ac:dyDescent="0.3">
      <c r="B218" s="828"/>
    </row>
    <row r="219" spans="2:2" x14ac:dyDescent="0.3">
      <c r="B219" s="828"/>
    </row>
    <row r="220" spans="2:2" x14ac:dyDescent="0.3">
      <c r="B220" s="828"/>
    </row>
    <row r="221" spans="2:2" x14ac:dyDescent="0.3">
      <c r="B221" s="828"/>
    </row>
    <row r="222" spans="2:2" x14ac:dyDescent="0.3">
      <c r="B222" s="828"/>
    </row>
    <row r="223" spans="2:2" x14ac:dyDescent="0.3">
      <c r="B223" s="828"/>
    </row>
    <row r="224" spans="2:2" x14ac:dyDescent="0.3">
      <c r="B224" s="828"/>
    </row>
    <row r="225" spans="2:2" x14ac:dyDescent="0.3">
      <c r="B225" s="828"/>
    </row>
    <row r="226" spans="2:2" x14ac:dyDescent="0.3">
      <c r="B226" s="828"/>
    </row>
    <row r="227" spans="2:2" x14ac:dyDescent="0.3">
      <c r="B227" s="828"/>
    </row>
    <row r="228" spans="2:2" x14ac:dyDescent="0.3">
      <c r="B228" s="828"/>
    </row>
    <row r="229" spans="2:2" x14ac:dyDescent="0.3">
      <c r="B229" s="828"/>
    </row>
    <row r="230" spans="2:2" x14ac:dyDescent="0.3">
      <c r="B230" s="828"/>
    </row>
    <row r="231" spans="2:2" x14ac:dyDescent="0.3">
      <c r="B231" s="828"/>
    </row>
    <row r="232" spans="2:2" x14ac:dyDescent="0.3">
      <c r="B232" s="828"/>
    </row>
    <row r="233" spans="2:2" x14ac:dyDescent="0.3">
      <c r="B233" s="828"/>
    </row>
    <row r="234" spans="2:2" x14ac:dyDescent="0.3">
      <c r="B234" s="828"/>
    </row>
    <row r="235" spans="2:2" x14ac:dyDescent="0.3">
      <c r="B235" s="828"/>
    </row>
    <row r="236" spans="2:2" x14ac:dyDescent="0.3">
      <c r="B236" s="828"/>
    </row>
    <row r="237" spans="2:2" x14ac:dyDescent="0.3">
      <c r="B237" s="828"/>
    </row>
    <row r="238" spans="2:2" x14ac:dyDescent="0.3">
      <c r="B238" s="828"/>
    </row>
  </sheetData>
  <mergeCells count="8">
    <mergeCell ref="D22:G22"/>
    <mergeCell ref="J13:K13"/>
    <mergeCell ref="M15:N15"/>
    <mergeCell ref="M17:N17"/>
    <mergeCell ref="M18:N18"/>
    <mergeCell ref="M19:N19"/>
    <mergeCell ref="M16:N16"/>
    <mergeCell ref="M20:N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B1:V22"/>
  <sheetViews>
    <sheetView workbookViewId="0">
      <selection activeCell="U12" sqref="U12"/>
    </sheetView>
  </sheetViews>
  <sheetFormatPr defaultColWidth="8.8984375" defaultRowHeight="15" customHeight="1" x14ac:dyDescent="0.45"/>
  <cols>
    <col min="1" max="1" width="2.59765625" style="695" customWidth="1"/>
    <col min="2" max="2" width="2.69921875" style="783" customWidth="1"/>
    <col min="3" max="3" width="8.8984375" style="695"/>
    <col min="4" max="5" width="4.09765625" style="695" customWidth="1"/>
    <col min="6" max="6" width="4.8984375" style="695" customWidth="1"/>
    <col min="7" max="7" width="6.09765625" style="695" customWidth="1"/>
    <col min="8" max="8" width="2.69921875" style="695" customWidth="1"/>
    <col min="9" max="9" width="2.59765625" style="695" customWidth="1"/>
    <col min="10" max="10" width="4.3984375" style="695" customWidth="1"/>
    <col min="11" max="11" width="5.19921875" style="695" customWidth="1"/>
    <col min="12" max="12" width="5.09765625" style="695" customWidth="1"/>
    <col min="13" max="13" width="5.59765625" style="695" customWidth="1"/>
    <col min="14" max="14" width="3.3984375" style="695" customWidth="1"/>
    <col min="15" max="15" width="9.59765625" style="695" customWidth="1"/>
    <col min="16" max="16" width="2.09765625" style="695" customWidth="1"/>
    <col min="17" max="17" width="19.5" style="695" customWidth="1"/>
    <col min="18" max="18" width="2.09765625" style="783" customWidth="1"/>
    <col min="19" max="16384" width="8.8984375" style="695"/>
  </cols>
  <sheetData>
    <row r="1" spans="2:22" ht="15" customHeight="1" x14ac:dyDescent="0.45">
      <c r="B1" s="695"/>
    </row>
    <row r="2" spans="2:22" s="1023" customFormat="1" ht="15" customHeight="1" x14ac:dyDescent="0.35">
      <c r="B2" s="923" t="str">
        <f>Inicio!J6</f>
        <v>Estudante</v>
      </c>
      <c r="C2" s="923"/>
      <c r="D2" s="923"/>
      <c r="E2" s="923" t="s">
        <v>256</v>
      </c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1088"/>
      <c r="T2" s="1088"/>
      <c r="U2" s="1088"/>
      <c r="V2" s="1088"/>
    </row>
    <row r="9" spans="2:22" ht="15" customHeight="1" thickBot="1" x14ac:dyDescent="0.5"/>
    <row r="10" spans="2:22" ht="19.5" customHeight="1" thickBot="1" x14ac:dyDescent="0.5">
      <c r="C10" s="780" t="s">
        <v>277</v>
      </c>
      <c r="D10" s="1950">
        <v>72</v>
      </c>
      <c r="E10" s="1951"/>
      <c r="F10" s="696" t="s">
        <v>278</v>
      </c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</row>
    <row r="11" spans="2:22" ht="6" customHeight="1" thickBot="1" x14ac:dyDescent="0.5">
      <c r="C11" s="780"/>
      <c r="D11" s="696"/>
      <c r="E11" s="696"/>
      <c r="F11" s="1952"/>
      <c r="G11" s="1952"/>
      <c r="H11" s="780"/>
      <c r="I11" s="696"/>
      <c r="J11" s="696"/>
      <c r="K11" s="696"/>
      <c r="L11" s="696"/>
      <c r="M11" s="696"/>
      <c r="N11" s="696"/>
      <c r="O11" s="696"/>
      <c r="P11" s="696"/>
      <c r="Q11" s="707"/>
    </row>
    <row r="12" spans="2:22" ht="21" customHeight="1" thickBot="1" x14ac:dyDescent="0.5">
      <c r="C12" s="780" t="s">
        <v>280</v>
      </c>
      <c r="D12" s="1953">
        <v>15.3</v>
      </c>
      <c r="E12" s="1954"/>
      <c r="F12" s="696" t="s">
        <v>431</v>
      </c>
      <c r="L12" s="696"/>
      <c r="M12" s="696"/>
      <c r="N12" s="696"/>
      <c r="O12" s="696"/>
      <c r="P12" s="696"/>
      <c r="Q12" s="696"/>
    </row>
    <row r="13" spans="2:22" ht="16.5" customHeight="1" x14ac:dyDescent="0.45">
      <c r="C13" s="1955" t="s">
        <v>284</v>
      </c>
      <c r="D13" s="700"/>
      <c r="E13" s="700"/>
      <c r="F13" s="918"/>
      <c r="G13" s="916" t="s">
        <v>283</v>
      </c>
      <c r="H13" s="1530" t="s">
        <v>3</v>
      </c>
      <c r="I13" s="1957" t="s">
        <v>287</v>
      </c>
      <c r="J13" s="1957"/>
      <c r="K13" s="1957"/>
      <c r="L13" s="1530" t="s">
        <v>3</v>
      </c>
      <c r="M13" s="1531" t="s">
        <v>286</v>
      </c>
      <c r="N13" s="1531"/>
      <c r="O13" s="1531"/>
      <c r="P13" s="697"/>
      <c r="Q13" s="697"/>
    </row>
    <row r="14" spans="2:22" ht="23.25" customHeight="1" x14ac:dyDescent="0.45">
      <c r="C14" s="1955"/>
      <c r="D14" s="1392" t="s">
        <v>257</v>
      </c>
      <c r="E14" s="1392">
        <f>D12</f>
        <v>15.3</v>
      </c>
      <c r="F14" s="1087" t="str">
        <f>F12</f>
        <v>cm.</v>
      </c>
      <c r="G14" s="917" t="s">
        <v>284</v>
      </c>
      <c r="H14" s="1530"/>
      <c r="I14" s="1956" t="s">
        <v>285</v>
      </c>
      <c r="J14" s="1956"/>
      <c r="K14" s="1956"/>
      <c r="L14" s="1530"/>
      <c r="M14" s="1531"/>
      <c r="N14" s="1531"/>
      <c r="O14" s="1531"/>
      <c r="P14" s="697"/>
      <c r="Q14" s="697"/>
    </row>
    <row r="15" spans="2:22" ht="15" customHeight="1" x14ac:dyDescent="0.45">
      <c r="C15" s="1955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</row>
    <row r="16" spans="2:22" ht="19.5" customHeight="1" x14ac:dyDescent="0.45">
      <c r="C16" s="1955"/>
      <c r="G16" s="916" t="s">
        <v>283</v>
      </c>
      <c r="H16" s="1530" t="s">
        <v>3</v>
      </c>
      <c r="I16" s="1957" t="s">
        <v>287</v>
      </c>
      <c r="J16" s="1957"/>
      <c r="K16" s="1957"/>
      <c r="L16" s="1530" t="s">
        <v>3</v>
      </c>
      <c r="M16" s="1531" t="s">
        <v>288</v>
      </c>
      <c r="N16" s="1531"/>
      <c r="O16" s="1531"/>
    </row>
    <row r="17" spans="3:17" ht="18" customHeight="1" x14ac:dyDescent="0.45">
      <c r="C17" s="1958" t="s">
        <v>281</v>
      </c>
      <c r="D17" s="803"/>
      <c r="G17" s="915" t="s">
        <v>279</v>
      </c>
      <c r="H17" s="1530"/>
      <c r="I17" s="1952" t="s">
        <v>291</v>
      </c>
      <c r="J17" s="1952"/>
      <c r="K17" s="1952"/>
      <c r="L17" s="1530"/>
      <c r="M17" s="1531"/>
      <c r="N17" s="1531"/>
      <c r="O17" s="1531"/>
    </row>
    <row r="18" spans="3:17" ht="15" customHeight="1" thickBot="1" x14ac:dyDescent="0.5">
      <c r="C18" s="1959"/>
      <c r="D18" s="804"/>
      <c r="G18" s="700"/>
      <c r="H18" s="781"/>
      <c r="I18" s="781"/>
      <c r="J18" s="781"/>
      <c r="K18" s="781"/>
    </row>
    <row r="19" spans="3:17" ht="21" customHeight="1" x14ac:dyDescent="0.45">
      <c r="C19" s="785" t="s">
        <v>283</v>
      </c>
      <c r="D19" s="1960" t="s">
        <v>3</v>
      </c>
      <c r="E19" s="785">
        <f>E14</f>
        <v>15.3</v>
      </c>
      <c r="F19" s="1960" t="s">
        <v>3</v>
      </c>
      <c r="G19" s="787" t="str">
        <f>CONCATENATE("sen(",D10,"°)")</f>
        <v>sen(72°)</v>
      </c>
      <c r="H19" s="787"/>
      <c r="I19" s="1001"/>
      <c r="J19" s="1962" t="s">
        <v>289</v>
      </c>
      <c r="K19" s="1964" t="s">
        <v>290</v>
      </c>
      <c r="L19" s="1966">
        <f>E19</f>
        <v>15.3</v>
      </c>
      <c r="M19" s="1966"/>
      <c r="N19" s="1967" t="s">
        <v>3</v>
      </c>
      <c r="O19" s="799">
        <f>L19</f>
        <v>15.3</v>
      </c>
      <c r="P19" s="1969" t="s">
        <v>3</v>
      </c>
      <c r="Q19" s="1971" t="str">
        <f>CONCATENATE(ROUND(O19/O20,1),F12)</f>
        <v>16,1cm.</v>
      </c>
    </row>
    <row r="20" spans="3:17" ht="21" customHeight="1" thickBot="1" x14ac:dyDescent="0.5">
      <c r="C20" s="792" t="s">
        <v>284</v>
      </c>
      <c r="D20" s="1961"/>
      <c r="E20" s="792" t="str">
        <f>C20</f>
        <v>c</v>
      </c>
      <c r="F20" s="1961"/>
      <c r="G20" s="1973">
        <v>1</v>
      </c>
      <c r="H20" s="1973"/>
      <c r="I20" s="1002"/>
      <c r="J20" s="1963"/>
      <c r="K20" s="1965"/>
      <c r="L20" s="1974" t="str">
        <f>G19</f>
        <v>sen(72°)</v>
      </c>
      <c r="M20" s="1974"/>
      <c r="N20" s="1968"/>
      <c r="O20" s="800">
        <f>SIN(D10/180*PI())</f>
        <v>0.95105651629515353</v>
      </c>
      <c r="P20" s="1970"/>
      <c r="Q20" s="1972"/>
    </row>
    <row r="21" spans="3:17" ht="21" customHeight="1" x14ac:dyDescent="0.45">
      <c r="C21" s="785" t="s">
        <v>283</v>
      </c>
      <c r="D21" s="1960" t="s">
        <v>3</v>
      </c>
      <c r="E21" s="785">
        <f>E14</f>
        <v>15.3</v>
      </c>
      <c r="F21" s="1960" t="s">
        <v>3</v>
      </c>
      <c r="G21" s="787" t="str">
        <f>CONCATENATE("tg(",D10,"°)")</f>
        <v>tg(72°)</v>
      </c>
      <c r="H21" s="787"/>
      <c r="I21" s="1001"/>
      <c r="J21" s="1962" t="s">
        <v>289</v>
      </c>
      <c r="K21" s="1980" t="s">
        <v>290</v>
      </c>
      <c r="L21" s="1982">
        <f>E21</f>
        <v>15.3</v>
      </c>
      <c r="M21" s="1982"/>
      <c r="N21" s="1983" t="s">
        <v>3</v>
      </c>
      <c r="O21" s="801">
        <f>L21</f>
        <v>15.3</v>
      </c>
      <c r="P21" s="1975" t="s">
        <v>3</v>
      </c>
      <c r="Q21" s="1977" t="str">
        <f>CONCATENATE(ROUND(O21/O22,1),F12)</f>
        <v>5cm.</v>
      </c>
    </row>
    <row r="22" spans="3:17" ht="21" customHeight="1" thickBot="1" x14ac:dyDescent="0.5">
      <c r="C22" s="795" t="s">
        <v>279</v>
      </c>
      <c r="D22" s="1961"/>
      <c r="E22" s="795" t="str">
        <f>C22</f>
        <v>b</v>
      </c>
      <c r="F22" s="1961"/>
      <c r="G22" s="1973">
        <v>1</v>
      </c>
      <c r="H22" s="1973"/>
      <c r="I22" s="1002"/>
      <c r="J22" s="1963"/>
      <c r="K22" s="1981"/>
      <c r="L22" s="1979" t="str">
        <f>G21</f>
        <v>tg(72°)</v>
      </c>
      <c r="M22" s="1979"/>
      <c r="N22" s="1984"/>
      <c r="O22" s="802">
        <f>TAN(D10/180*PI())</f>
        <v>3.0776835371752527</v>
      </c>
      <c r="P22" s="1976"/>
      <c r="Q22" s="1978"/>
    </row>
  </sheetData>
  <mergeCells count="35">
    <mergeCell ref="P21:P22"/>
    <mergeCell ref="Q21:Q22"/>
    <mergeCell ref="G22:H22"/>
    <mergeCell ref="L22:M22"/>
    <mergeCell ref="D21:D22"/>
    <mergeCell ref="F21:F22"/>
    <mergeCell ref="J21:J22"/>
    <mergeCell ref="K21:K22"/>
    <mergeCell ref="L21:M21"/>
    <mergeCell ref="N21:N22"/>
    <mergeCell ref="L19:M19"/>
    <mergeCell ref="N19:N20"/>
    <mergeCell ref="P19:P20"/>
    <mergeCell ref="Q19:Q20"/>
    <mergeCell ref="G20:H20"/>
    <mergeCell ref="L20:M20"/>
    <mergeCell ref="C17:C18"/>
    <mergeCell ref="I17:K17"/>
    <mergeCell ref="D19:D20"/>
    <mergeCell ref="F19:F20"/>
    <mergeCell ref="J19:J20"/>
    <mergeCell ref="K19:K20"/>
    <mergeCell ref="L13:L14"/>
    <mergeCell ref="M13:O14"/>
    <mergeCell ref="I14:K14"/>
    <mergeCell ref="H16:H17"/>
    <mergeCell ref="I16:K16"/>
    <mergeCell ref="L16:L17"/>
    <mergeCell ref="M16:O17"/>
    <mergeCell ref="I13:K13"/>
    <mergeCell ref="D10:E10"/>
    <mergeCell ref="F11:G11"/>
    <mergeCell ref="D12:E12"/>
    <mergeCell ref="C13:C16"/>
    <mergeCell ref="H13:H1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B1:V20"/>
  <sheetViews>
    <sheetView workbookViewId="0">
      <selection activeCell="J7" sqref="J7"/>
    </sheetView>
  </sheetViews>
  <sheetFormatPr defaultColWidth="8.8984375" defaultRowHeight="23.4" x14ac:dyDescent="0.45"/>
  <cols>
    <col min="1" max="1" width="3.09765625" style="695" customWidth="1"/>
    <col min="2" max="2" width="2.69921875" style="783" customWidth="1"/>
    <col min="3" max="3" width="11.5" style="695" customWidth="1"/>
    <col min="4" max="4" width="5.19921875" style="695" customWidth="1"/>
    <col min="5" max="5" width="6.09765625" style="695" customWidth="1"/>
    <col min="6" max="6" width="4.8984375" style="695" customWidth="1"/>
    <col min="7" max="7" width="6.09765625" style="695" customWidth="1"/>
    <col min="8" max="8" width="4.3984375" style="695" customWidth="1"/>
    <col min="9" max="9" width="2.59765625" style="695" customWidth="1"/>
    <col min="10" max="10" width="4.3984375" style="695" customWidth="1"/>
    <col min="11" max="11" width="5.19921875" style="695" customWidth="1"/>
    <col min="12" max="12" width="5.09765625" style="695" customWidth="1"/>
    <col min="13" max="13" width="5.59765625" style="695" customWidth="1"/>
    <col min="14" max="14" width="5.8984375" style="695" customWidth="1"/>
    <col min="15" max="15" width="13.3984375" style="695" customWidth="1"/>
    <col min="16" max="16" width="2.09765625" style="695" customWidth="1"/>
    <col min="17" max="17" width="26" style="695" customWidth="1"/>
    <col min="18" max="18" width="2.09765625" style="783" customWidth="1"/>
    <col min="19" max="16384" width="8.8984375" style="695"/>
  </cols>
  <sheetData>
    <row r="1" spans="2:22" ht="15.75" customHeight="1" x14ac:dyDescent="0.45">
      <c r="B1" s="695"/>
      <c r="R1" s="695"/>
    </row>
    <row r="2" spans="2:22" ht="16.5" customHeight="1" x14ac:dyDescent="0.45">
      <c r="B2" s="783" t="str">
        <f>Inicio!J6</f>
        <v>Estudante</v>
      </c>
      <c r="C2" s="783"/>
      <c r="D2" s="783"/>
      <c r="E2" s="783" t="s">
        <v>256</v>
      </c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S2" s="784"/>
      <c r="T2" s="784"/>
      <c r="U2" s="784"/>
      <c r="V2" s="784"/>
    </row>
    <row r="5" spans="2:22" ht="16.5" customHeight="1" thickBot="1" x14ac:dyDescent="0.5"/>
    <row r="6" spans="2:22" ht="18.75" customHeight="1" thickBot="1" x14ac:dyDescent="0.5">
      <c r="C6" s="780" t="s">
        <v>277</v>
      </c>
      <c r="D6" s="1950">
        <v>63.6</v>
      </c>
      <c r="E6" s="1951"/>
      <c r="F6" s="696" t="s">
        <v>278</v>
      </c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</row>
    <row r="7" spans="2:22" ht="7.5" customHeight="1" thickBot="1" x14ac:dyDescent="0.5">
      <c r="C7" s="780"/>
      <c r="D7" s="696"/>
      <c r="E7" s="696"/>
      <c r="F7" s="1952"/>
      <c r="G7" s="1952"/>
      <c r="H7" s="780"/>
      <c r="I7" s="696"/>
      <c r="J7" s="696"/>
      <c r="K7" s="696"/>
      <c r="L7" s="696"/>
      <c r="M7" s="696"/>
      <c r="N7" s="696"/>
      <c r="O7" s="696"/>
      <c r="P7" s="696"/>
      <c r="Q7" s="707"/>
    </row>
    <row r="8" spans="2:22" ht="17.25" customHeight="1" thickBot="1" x14ac:dyDescent="0.5">
      <c r="C8" s="922" t="s">
        <v>258</v>
      </c>
      <c r="D8" s="1985">
        <v>44.7</v>
      </c>
      <c r="E8" s="1986"/>
      <c r="F8" s="696" t="s">
        <v>259</v>
      </c>
      <c r="L8" s="696"/>
      <c r="M8" s="696"/>
      <c r="N8" s="696"/>
      <c r="O8" s="696"/>
      <c r="P8" s="696"/>
      <c r="Q8" s="696"/>
    </row>
    <row r="9" spans="2:22" ht="16.5" customHeight="1" x14ac:dyDescent="0.45">
      <c r="C9" s="696"/>
      <c r="D9" s="696"/>
      <c r="E9" s="696"/>
      <c r="F9" s="696"/>
      <c r="L9" s="696"/>
      <c r="M9" s="696"/>
      <c r="N9" s="696"/>
      <c r="O9" s="696"/>
      <c r="P9" s="696"/>
      <c r="Q9" s="696"/>
    </row>
    <row r="10" spans="2:22" ht="16.5" customHeight="1" x14ac:dyDescent="0.45">
      <c r="C10" s="1955" t="s">
        <v>282</v>
      </c>
      <c r="D10" s="700"/>
      <c r="E10" s="700"/>
      <c r="F10" s="918"/>
      <c r="L10" s="696"/>
      <c r="M10" s="696"/>
      <c r="N10" s="696"/>
      <c r="O10" s="781"/>
      <c r="P10" s="781"/>
      <c r="Q10" s="781"/>
    </row>
    <row r="11" spans="2:22" ht="16.5" customHeight="1" x14ac:dyDescent="0.45">
      <c r="C11" s="1955"/>
      <c r="D11" s="700"/>
      <c r="E11" s="700"/>
      <c r="F11" s="918"/>
      <c r="G11" s="916" t="s">
        <v>283</v>
      </c>
      <c r="H11" s="1530" t="s">
        <v>3</v>
      </c>
      <c r="I11" s="1957" t="s">
        <v>287</v>
      </c>
      <c r="J11" s="1957"/>
      <c r="K11" s="1957"/>
      <c r="L11" s="1530" t="s">
        <v>3</v>
      </c>
      <c r="M11" s="1531" t="s">
        <v>286</v>
      </c>
      <c r="N11" s="1531"/>
      <c r="O11" s="1531"/>
      <c r="P11" s="697"/>
      <c r="Q11" s="697"/>
    </row>
    <row r="12" spans="2:22" ht="16.5" customHeight="1" x14ac:dyDescent="0.45">
      <c r="C12" s="1955"/>
      <c r="D12" s="782" t="s">
        <v>257</v>
      </c>
      <c r="E12" s="782" t="s">
        <v>358</v>
      </c>
      <c r="F12" s="695" t="str">
        <f>F8</f>
        <v>cm</v>
      </c>
      <c r="G12" s="917" t="s">
        <v>284</v>
      </c>
      <c r="H12" s="1530"/>
      <c r="I12" s="1956" t="s">
        <v>285</v>
      </c>
      <c r="J12" s="1956"/>
      <c r="K12" s="1956"/>
      <c r="L12" s="1530"/>
      <c r="M12" s="1531"/>
      <c r="N12" s="1531"/>
      <c r="O12" s="1531"/>
      <c r="P12" s="697"/>
      <c r="Q12" s="697"/>
    </row>
    <row r="13" spans="2:22" ht="16.5" customHeight="1" x14ac:dyDescent="0.45">
      <c r="C13" s="1955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</row>
    <row r="14" spans="2:22" ht="16.5" customHeight="1" x14ac:dyDescent="0.45">
      <c r="C14" s="1955"/>
      <c r="G14" s="916" t="s">
        <v>283</v>
      </c>
      <c r="H14" s="1530" t="s">
        <v>3</v>
      </c>
      <c r="I14" s="1957" t="s">
        <v>287</v>
      </c>
      <c r="J14" s="1957"/>
      <c r="K14" s="1957"/>
      <c r="L14" s="1530" t="s">
        <v>3</v>
      </c>
      <c r="M14" s="1531" t="s">
        <v>288</v>
      </c>
      <c r="N14" s="1531"/>
      <c r="O14" s="1531"/>
    </row>
    <row r="15" spans="2:22" ht="16.5" customHeight="1" x14ac:dyDescent="0.45">
      <c r="C15" s="1987" t="s">
        <v>258</v>
      </c>
      <c r="D15" s="803"/>
      <c r="G15" s="915" t="s">
        <v>279</v>
      </c>
      <c r="H15" s="1530"/>
      <c r="I15" s="1952" t="s">
        <v>291</v>
      </c>
      <c r="J15" s="1952"/>
      <c r="K15" s="1952"/>
      <c r="L15" s="1530"/>
      <c r="M15" s="1531"/>
      <c r="N15" s="1531"/>
      <c r="O15" s="1531"/>
    </row>
    <row r="16" spans="2:22" ht="21" customHeight="1" thickBot="1" x14ac:dyDescent="0.5">
      <c r="C16" s="1988"/>
      <c r="D16" s="982">
        <f>D8</f>
        <v>44.7</v>
      </c>
      <c r="G16" s="700"/>
      <c r="H16" s="781"/>
      <c r="I16" s="781"/>
      <c r="J16" s="781"/>
      <c r="K16" s="781"/>
    </row>
    <row r="17" spans="3:17" x14ac:dyDescent="0.45">
      <c r="C17" s="785" t="s">
        <v>279</v>
      </c>
      <c r="D17" s="1960" t="s">
        <v>3</v>
      </c>
      <c r="E17" s="785">
        <f>D8</f>
        <v>44.7</v>
      </c>
      <c r="F17" s="1960" t="s">
        <v>3</v>
      </c>
      <c r="G17" s="787" t="str">
        <f>CONCATENATE("cos(",D6,"°)")</f>
        <v>cos(63,6°)</v>
      </c>
      <c r="H17" s="1003"/>
      <c r="I17" s="788"/>
      <c r="J17" s="1962" t="s">
        <v>289</v>
      </c>
      <c r="K17" s="1964" t="s">
        <v>290</v>
      </c>
      <c r="L17" s="1966">
        <f>E17</f>
        <v>44.7</v>
      </c>
      <c r="M17" s="1966"/>
      <c r="N17" s="1967" t="s">
        <v>3</v>
      </c>
      <c r="O17" s="799">
        <f>L17</f>
        <v>44.7</v>
      </c>
      <c r="P17" s="1969" t="s">
        <v>3</v>
      </c>
      <c r="Q17" s="1971" t="str">
        <f>CONCATENATE(ROUND(O17/O18,1),F8)</f>
        <v>100,5cm</v>
      </c>
    </row>
    <row r="18" spans="3:17" ht="24" thickBot="1" x14ac:dyDescent="0.5">
      <c r="C18" s="983" t="s">
        <v>284</v>
      </c>
      <c r="D18" s="1989"/>
      <c r="E18" s="983" t="str">
        <f>C18</f>
        <v>c</v>
      </c>
      <c r="F18" s="1989"/>
      <c r="G18" s="1995">
        <v>1</v>
      </c>
      <c r="H18" s="1996"/>
      <c r="I18" s="984"/>
      <c r="J18" s="1990"/>
      <c r="K18" s="1991"/>
      <c r="L18" s="1997" t="str">
        <f>G17</f>
        <v>cos(63,6°)</v>
      </c>
      <c r="M18" s="1997"/>
      <c r="N18" s="1992"/>
      <c r="O18" s="985">
        <f>COS(D6/180*PI())</f>
        <v>0.44463517918492751</v>
      </c>
      <c r="P18" s="1993"/>
      <c r="Q18" s="1994"/>
    </row>
    <row r="19" spans="3:17" x14ac:dyDescent="0.45">
      <c r="C19" s="785" t="s">
        <v>283</v>
      </c>
      <c r="D19" s="1960" t="s">
        <v>3</v>
      </c>
      <c r="E19" s="785" t="str">
        <f>C19</f>
        <v>a</v>
      </c>
      <c r="F19" s="1960" t="s">
        <v>3</v>
      </c>
      <c r="G19" s="787" t="str">
        <f>CONCATENATE("tg(",D6,"°)")</f>
        <v>tg(63,6°)</v>
      </c>
      <c r="H19" s="1003"/>
      <c r="I19" s="788"/>
      <c r="J19" s="1962" t="s">
        <v>289</v>
      </c>
      <c r="K19" s="1998" t="s">
        <v>359</v>
      </c>
      <c r="L19" s="2004" t="str">
        <f>CONCATENATE(D16,"x",G19," = ")</f>
        <v xml:space="preserve">44,7xtg(63,6°) = </v>
      </c>
      <c r="M19" s="2004"/>
      <c r="N19" s="2004"/>
      <c r="O19" s="2006" t="str">
        <f>CONCATENATE(E20,"x",TAN(D6/180*PI()))</f>
        <v>44,7x2,01448693709159</v>
      </c>
      <c r="P19" s="1999" t="s">
        <v>3</v>
      </c>
      <c r="Q19" s="2001">
        <f>E20*TAN(D6/180*PI())</f>
        <v>90.047566087993872</v>
      </c>
    </row>
    <row r="20" spans="3:17" ht="24" thickBot="1" x14ac:dyDescent="0.5">
      <c r="C20" s="795" t="s">
        <v>279</v>
      </c>
      <c r="D20" s="1961"/>
      <c r="E20" s="795">
        <f>D16</f>
        <v>44.7</v>
      </c>
      <c r="F20" s="1961"/>
      <c r="G20" s="1961">
        <v>1</v>
      </c>
      <c r="H20" s="2003"/>
      <c r="I20" s="789"/>
      <c r="J20" s="1963"/>
      <c r="K20" s="1963"/>
      <c r="L20" s="2005"/>
      <c r="M20" s="2005"/>
      <c r="N20" s="2005"/>
      <c r="O20" s="2007"/>
      <c r="P20" s="2000"/>
      <c r="Q20" s="2002"/>
    </row>
  </sheetData>
  <mergeCells count="34">
    <mergeCell ref="P19:P20"/>
    <mergeCell ref="Q19:Q20"/>
    <mergeCell ref="G20:H20"/>
    <mergeCell ref="L19:N20"/>
    <mergeCell ref="O19:O20"/>
    <mergeCell ref="D19:D20"/>
    <mergeCell ref="F19:F20"/>
    <mergeCell ref="J19:J20"/>
    <mergeCell ref="K19:K20"/>
    <mergeCell ref="L17:M17"/>
    <mergeCell ref="N17:N18"/>
    <mergeCell ref="P17:P18"/>
    <mergeCell ref="Q17:Q18"/>
    <mergeCell ref="G18:H18"/>
    <mergeCell ref="L18:M18"/>
    <mergeCell ref="C15:C16"/>
    <mergeCell ref="I15:K15"/>
    <mergeCell ref="D17:D18"/>
    <mergeCell ref="F17:F18"/>
    <mergeCell ref="J17:J18"/>
    <mergeCell ref="K17:K18"/>
    <mergeCell ref="L11:L12"/>
    <mergeCell ref="M11:O12"/>
    <mergeCell ref="I12:K12"/>
    <mergeCell ref="H14:H15"/>
    <mergeCell ref="I14:K14"/>
    <mergeCell ref="L14:L15"/>
    <mergeCell ref="M14:O15"/>
    <mergeCell ref="I11:K11"/>
    <mergeCell ref="D6:E6"/>
    <mergeCell ref="F7:G7"/>
    <mergeCell ref="D8:E8"/>
    <mergeCell ref="C10:C14"/>
    <mergeCell ref="H11:H12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X73"/>
  <sheetViews>
    <sheetView workbookViewId="0">
      <selection activeCell="K8" sqref="K8"/>
    </sheetView>
  </sheetViews>
  <sheetFormatPr defaultColWidth="8.8984375" defaultRowHeight="16.5" customHeight="1" x14ac:dyDescent="0.4"/>
  <cols>
    <col min="1" max="1" width="3.19921875" style="709" customWidth="1"/>
    <col min="2" max="2" width="2.69921875" style="768" customWidth="1"/>
    <col min="3" max="3" width="4" style="709" customWidth="1"/>
    <col min="4" max="4" width="5.09765625" style="709" customWidth="1"/>
    <col min="5" max="5" width="5.19921875" style="709" customWidth="1"/>
    <col min="6" max="6" width="4.09765625" style="709" customWidth="1"/>
    <col min="7" max="7" width="4.8984375" style="709" customWidth="1"/>
    <col min="8" max="8" width="6.09765625" style="709" customWidth="1"/>
    <col min="9" max="9" width="2.69921875" style="709" customWidth="1"/>
    <col min="10" max="10" width="2.59765625" style="709" customWidth="1"/>
    <col min="11" max="11" width="4.3984375" style="709" customWidth="1"/>
    <col min="12" max="12" width="5.19921875" style="709" customWidth="1"/>
    <col min="13" max="13" width="5.09765625" style="709" customWidth="1"/>
    <col min="14" max="14" width="10.3984375" style="709" customWidth="1"/>
    <col min="15" max="15" width="3.3984375" style="709" customWidth="1"/>
    <col min="16" max="16" width="15" style="709" customWidth="1"/>
    <col min="17" max="17" width="2.09765625" style="709" customWidth="1"/>
    <col min="18" max="18" width="19.5" style="709" customWidth="1"/>
    <col min="19" max="19" width="3" style="709" customWidth="1"/>
    <col min="20" max="20" width="2.8984375" style="768" customWidth="1"/>
    <col min="21" max="16384" width="8.8984375" style="709"/>
  </cols>
  <sheetData>
    <row r="1" spans="2:24" ht="16.5" customHeight="1" x14ac:dyDescent="0.4">
      <c r="B1" s="709"/>
      <c r="T1" s="709"/>
    </row>
    <row r="2" spans="2:24" ht="16.5" customHeight="1" x14ac:dyDescent="0.4">
      <c r="B2" s="768" t="str">
        <f>Inicio!J6</f>
        <v>Estudante</v>
      </c>
      <c r="C2" s="768"/>
      <c r="D2" s="768"/>
      <c r="E2" s="768"/>
      <c r="F2" s="768" t="s">
        <v>256</v>
      </c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U2" s="771"/>
      <c r="V2" s="771"/>
      <c r="W2" s="771"/>
      <c r="X2" s="771"/>
    </row>
    <row r="7" spans="2:24" ht="16.5" customHeight="1" thickBot="1" x14ac:dyDescent="0.45"/>
    <row r="8" spans="2:24" ht="16.5" customHeight="1" thickBot="1" x14ac:dyDescent="0.45">
      <c r="C8" s="946" t="s">
        <v>360</v>
      </c>
      <c r="E8" s="2008">
        <v>70</v>
      </c>
      <c r="F8" s="2009"/>
      <c r="G8" s="713" t="s">
        <v>278</v>
      </c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</row>
    <row r="9" spans="2:24" ht="16.5" customHeight="1" thickBot="1" x14ac:dyDescent="0.45">
      <c r="C9" s="946"/>
      <c r="D9" s="946"/>
      <c r="E9" s="713"/>
      <c r="F9" s="713"/>
      <c r="G9" s="2010"/>
      <c r="H9" s="2010"/>
      <c r="I9" s="946"/>
      <c r="J9" s="713"/>
      <c r="K9" s="713"/>
      <c r="L9" s="713"/>
      <c r="M9" s="713"/>
      <c r="N9" s="713"/>
      <c r="O9" s="713"/>
      <c r="P9" s="713"/>
      <c r="Q9" s="713"/>
      <c r="R9" s="986"/>
      <c r="S9" s="986"/>
    </row>
    <row r="10" spans="2:24" ht="16.5" customHeight="1" thickBot="1" x14ac:dyDescent="0.45">
      <c r="C10" s="997" t="s">
        <v>284</v>
      </c>
      <c r="D10" s="946" t="s">
        <v>3</v>
      </c>
      <c r="E10" s="2011">
        <v>8</v>
      </c>
      <c r="F10" s="2012"/>
      <c r="G10" s="713" t="s">
        <v>259</v>
      </c>
      <c r="M10" s="713"/>
      <c r="N10" s="713"/>
      <c r="O10" s="713"/>
      <c r="P10" s="713"/>
      <c r="Q10" s="713"/>
      <c r="R10" s="713"/>
      <c r="S10" s="713"/>
    </row>
    <row r="11" spans="2:24" ht="16.5" customHeight="1" x14ac:dyDescent="0.4">
      <c r="C11" s="713"/>
      <c r="D11" s="713"/>
      <c r="E11" s="713"/>
      <c r="F11" s="713"/>
      <c r="G11" s="713"/>
      <c r="M11" s="713"/>
      <c r="N11" s="713"/>
      <c r="O11" s="713"/>
      <c r="P11" s="713"/>
      <c r="Q11" s="713"/>
      <c r="R11" s="713"/>
      <c r="S11" s="713"/>
    </row>
    <row r="12" spans="2:24" ht="16.5" customHeight="1" x14ac:dyDescent="0.4">
      <c r="C12" s="2013"/>
      <c r="D12" s="948"/>
      <c r="E12" s="913"/>
      <c r="F12" s="913"/>
      <c r="G12" s="912"/>
      <c r="H12" s="914" t="s">
        <v>283</v>
      </c>
      <c r="I12" s="1672" t="s">
        <v>3</v>
      </c>
      <c r="J12" s="2015" t="s">
        <v>361</v>
      </c>
      <c r="K12" s="2015"/>
      <c r="L12" s="2015"/>
      <c r="M12" s="1672" t="s">
        <v>3</v>
      </c>
      <c r="N12" s="1659" t="s">
        <v>362</v>
      </c>
      <c r="O12" s="1659"/>
      <c r="P12" s="1659"/>
      <c r="Q12" s="945"/>
      <c r="R12" s="945"/>
      <c r="S12" s="945"/>
    </row>
    <row r="13" spans="2:24" ht="16.5" customHeight="1" x14ac:dyDescent="0.4">
      <c r="C13" s="2013"/>
      <c r="D13" s="948">
        <f>E10</f>
        <v>8</v>
      </c>
      <c r="E13" s="949" t="s">
        <v>283</v>
      </c>
      <c r="F13" s="949" t="s">
        <v>358</v>
      </c>
      <c r="H13" s="947" t="s">
        <v>284</v>
      </c>
      <c r="I13" s="1672"/>
      <c r="J13" s="2014" t="s">
        <v>285</v>
      </c>
      <c r="K13" s="2014"/>
      <c r="L13" s="2014"/>
      <c r="M13" s="1672"/>
      <c r="N13" s="1659"/>
      <c r="O13" s="1659"/>
      <c r="P13" s="1659"/>
      <c r="Q13" s="945"/>
      <c r="R13" s="945"/>
      <c r="S13" s="945"/>
    </row>
    <row r="14" spans="2:24" ht="16.5" customHeight="1" x14ac:dyDescent="0.4">
      <c r="C14" s="2013"/>
      <c r="D14" s="948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</row>
    <row r="15" spans="2:24" ht="16.5" customHeight="1" x14ac:dyDescent="0.4">
      <c r="C15" s="2013"/>
      <c r="D15" s="948"/>
      <c r="H15" s="914" t="s">
        <v>283</v>
      </c>
      <c r="I15" s="1672" t="s">
        <v>3</v>
      </c>
      <c r="J15" s="2015" t="s">
        <v>361</v>
      </c>
      <c r="K15" s="2015"/>
      <c r="L15" s="2015"/>
      <c r="M15" s="1672" t="s">
        <v>3</v>
      </c>
      <c r="N15" s="1659" t="s">
        <v>363</v>
      </c>
      <c r="O15" s="1659"/>
      <c r="P15" s="1659"/>
    </row>
    <row r="16" spans="2:24" ht="16.5" customHeight="1" x14ac:dyDescent="0.4">
      <c r="C16" s="2016" t="s">
        <v>258</v>
      </c>
      <c r="D16" s="989"/>
      <c r="E16" s="988"/>
      <c r="H16" s="989" t="s">
        <v>279</v>
      </c>
      <c r="I16" s="1672"/>
      <c r="J16" s="2010" t="s">
        <v>364</v>
      </c>
      <c r="K16" s="2010"/>
      <c r="L16" s="2010"/>
      <c r="M16" s="1672"/>
      <c r="N16" s="1659"/>
      <c r="O16" s="1659"/>
      <c r="P16" s="1659"/>
    </row>
    <row r="17" spans="1:22" ht="16.5" customHeight="1" thickBot="1" x14ac:dyDescent="0.45">
      <c r="C17" s="2017"/>
      <c r="D17" s="998" t="s">
        <v>358</v>
      </c>
      <c r="E17" s="990"/>
      <c r="H17" s="913"/>
      <c r="I17" s="987"/>
      <c r="J17" s="987"/>
      <c r="K17" s="987"/>
      <c r="L17" s="987"/>
    </row>
    <row r="18" spans="1:22" ht="16.5" customHeight="1" x14ac:dyDescent="0.4">
      <c r="C18" s="991" t="s">
        <v>283</v>
      </c>
      <c r="D18" s="999"/>
      <c r="E18" s="2018" t="s">
        <v>3</v>
      </c>
      <c r="F18" s="991" t="str">
        <f>C18</f>
        <v>a</v>
      </c>
      <c r="G18" s="2018" t="s">
        <v>3</v>
      </c>
      <c r="H18" s="992" t="str">
        <f>CONCATENATE("sen(",E8,"°)")</f>
        <v>sen(70°)</v>
      </c>
      <c r="I18" s="1000"/>
      <c r="J18" s="993"/>
      <c r="K18" s="2020" t="s">
        <v>289</v>
      </c>
      <c r="L18" s="2022" t="s">
        <v>257</v>
      </c>
      <c r="M18" s="2035" t="str">
        <f>CONCATENATE(F19,"x",H18)</f>
        <v>8xsen(70°)</v>
      </c>
      <c r="N18" s="2035"/>
      <c r="O18" s="2043" t="s">
        <v>3</v>
      </c>
      <c r="P18" s="1004" t="str">
        <f>CONCATENATE(F19,"x",SIN(E8/180*PI()))</f>
        <v>8x0,939692620785908</v>
      </c>
      <c r="Q18" s="1004" t="s">
        <v>3</v>
      </c>
      <c r="R18" s="1005" t="str">
        <f>CONCATENATE(ROUND(E10*SIN(E8/180*PI()),5),"cm")</f>
        <v>7,51754cm</v>
      </c>
      <c r="S18" s="1008"/>
    </row>
    <row r="19" spans="1:22" ht="16.5" customHeight="1" thickBot="1" x14ac:dyDescent="0.45">
      <c r="C19" s="994" t="s">
        <v>284</v>
      </c>
      <c r="D19" s="995"/>
      <c r="E19" s="2019"/>
      <c r="F19" s="994">
        <f>E10</f>
        <v>8</v>
      </c>
      <c r="G19" s="2019"/>
      <c r="H19" s="2024">
        <v>1</v>
      </c>
      <c r="I19" s="2025"/>
      <c r="J19" s="996"/>
      <c r="K19" s="2021"/>
      <c r="L19" s="2023"/>
      <c r="M19" s="2036"/>
      <c r="N19" s="2036"/>
      <c r="O19" s="2044"/>
      <c r="P19" s="1006"/>
      <c r="Q19" s="1006"/>
      <c r="R19" s="1007"/>
      <c r="S19" s="1008"/>
    </row>
    <row r="20" spans="1:22" s="828" customFormat="1" ht="16.5" customHeight="1" x14ac:dyDescent="0.35">
      <c r="B20" s="825"/>
      <c r="C20" s="1393" t="s">
        <v>279</v>
      </c>
      <c r="D20" s="1252"/>
      <c r="E20" s="2026" t="s">
        <v>3</v>
      </c>
      <c r="F20" s="1394" t="str">
        <f>C20</f>
        <v>b</v>
      </c>
      <c r="G20" s="2026" t="s">
        <v>3</v>
      </c>
      <c r="H20" s="1395" t="str">
        <f>CONCATENATE("cos(",E8,"°)")</f>
        <v>cos(70°)</v>
      </c>
      <c r="I20" s="1395"/>
      <c r="J20" s="1396"/>
      <c r="K20" s="2028" t="s">
        <v>289</v>
      </c>
      <c r="L20" s="2030" t="s">
        <v>365</v>
      </c>
      <c r="M20" s="2037" t="str">
        <f>CONCATENATE(F21,"x",H20," = ")</f>
        <v xml:space="preserve">8xcos(70°) = </v>
      </c>
      <c r="N20" s="2037"/>
      <c r="O20" s="2032"/>
      <c r="P20" s="2039" t="str">
        <f>M20</f>
        <v xml:space="preserve">8xcos(70°) = </v>
      </c>
      <c r="Q20" s="2030" t="str">
        <f>CONCATENATE(E10*COS(E8/180*PI()),"cm")</f>
        <v>2,73616114660535cm</v>
      </c>
      <c r="R20" s="2041"/>
      <c r="S20" s="1135"/>
      <c r="T20" s="825"/>
    </row>
    <row r="21" spans="1:22" s="828" customFormat="1" ht="16.5" customHeight="1" thickBot="1" x14ac:dyDescent="0.4">
      <c r="B21" s="825"/>
      <c r="C21" s="1397" t="s">
        <v>284</v>
      </c>
      <c r="D21" s="1398"/>
      <c r="E21" s="2027"/>
      <c r="F21" s="1399">
        <f>E10</f>
        <v>8</v>
      </c>
      <c r="G21" s="2027"/>
      <c r="H21" s="2034">
        <v>1</v>
      </c>
      <c r="I21" s="2034"/>
      <c r="J21" s="1400"/>
      <c r="K21" s="2029"/>
      <c r="L21" s="2031"/>
      <c r="M21" s="2038"/>
      <c r="N21" s="2038"/>
      <c r="O21" s="2033"/>
      <c r="P21" s="2040"/>
      <c r="Q21" s="2031"/>
      <c r="R21" s="2042"/>
      <c r="S21" s="1135"/>
      <c r="T21" s="825"/>
    </row>
    <row r="22" spans="1:22" ht="16.5" customHeight="1" x14ac:dyDescent="0.4"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</row>
    <row r="23" spans="1:22" ht="16.5" customHeight="1" x14ac:dyDescent="0.4">
      <c r="A23" s="1401"/>
      <c r="B23" s="1360"/>
      <c r="C23" s="1401"/>
      <c r="D23" s="1401"/>
      <c r="E23" s="1401"/>
      <c r="F23" s="1401"/>
      <c r="G23" s="1401"/>
      <c r="H23" s="1401"/>
      <c r="I23" s="1401"/>
      <c r="J23" s="1401"/>
      <c r="K23" s="1401"/>
      <c r="L23" s="1401"/>
      <c r="M23" s="1401"/>
      <c r="N23" s="1401"/>
      <c r="O23" s="1401"/>
      <c r="P23" s="1401"/>
      <c r="Q23" s="1401"/>
      <c r="R23" s="1401"/>
      <c r="S23" s="1401"/>
      <c r="T23" s="1360"/>
      <c r="U23" s="1401"/>
      <c r="V23" s="1401"/>
    </row>
    <row r="24" spans="1:22" ht="16.5" customHeight="1" x14ac:dyDescent="0.4">
      <c r="A24" s="1401"/>
      <c r="B24" s="1360"/>
      <c r="C24" s="1401"/>
      <c r="D24" s="1401"/>
      <c r="E24" s="1401"/>
      <c r="F24" s="1401"/>
      <c r="G24" s="1401"/>
      <c r="H24" s="1401"/>
      <c r="I24" s="1401"/>
      <c r="J24" s="1401"/>
      <c r="K24" s="1401"/>
      <c r="L24" s="1401"/>
      <c r="M24" s="1401"/>
      <c r="N24" s="1401"/>
      <c r="O24" s="1401"/>
      <c r="P24" s="1401"/>
      <c r="Q24" s="1401"/>
      <c r="R24" s="1401"/>
      <c r="S24" s="1401"/>
      <c r="T24" s="1360"/>
      <c r="U24" s="1401"/>
      <c r="V24" s="1401"/>
    </row>
    <row r="25" spans="1:22" ht="16.5" customHeight="1" x14ac:dyDescent="0.4">
      <c r="A25" s="1401"/>
      <c r="B25" s="1360"/>
      <c r="C25" s="1401"/>
      <c r="D25" s="1401"/>
      <c r="E25" s="1401"/>
      <c r="F25" s="1401"/>
      <c r="G25" s="1401"/>
      <c r="H25" s="1401"/>
      <c r="I25" s="1401"/>
      <c r="J25" s="1401"/>
      <c r="K25" s="1401"/>
      <c r="L25" s="1401"/>
      <c r="M25" s="1401"/>
      <c r="N25" s="1401"/>
      <c r="O25" s="1401"/>
      <c r="P25" s="1401"/>
      <c r="Q25" s="1401"/>
      <c r="R25" s="1401"/>
      <c r="S25" s="1401"/>
      <c r="T25" s="1360"/>
      <c r="U25" s="1401"/>
      <c r="V25" s="1401"/>
    </row>
    <row r="26" spans="1:22" ht="16.5" customHeight="1" x14ac:dyDescent="0.4">
      <c r="A26" s="1401"/>
      <c r="B26" s="1360"/>
      <c r="C26" s="1401"/>
      <c r="D26" s="1401"/>
      <c r="E26" s="1401"/>
      <c r="F26" s="1401"/>
      <c r="G26" s="1401"/>
      <c r="H26" s="1401"/>
      <c r="I26" s="1401"/>
      <c r="J26" s="1401"/>
      <c r="K26" s="1401"/>
      <c r="L26" s="1401"/>
      <c r="M26" s="1401"/>
      <c r="N26" s="1401"/>
      <c r="O26" s="1401"/>
      <c r="P26" s="1401"/>
      <c r="Q26" s="1401"/>
      <c r="R26" s="1401"/>
      <c r="S26" s="1401"/>
      <c r="T26" s="1360"/>
      <c r="U26" s="1401"/>
      <c r="V26" s="1401"/>
    </row>
    <row r="27" spans="1:22" ht="16.5" customHeight="1" x14ac:dyDescent="0.4">
      <c r="A27" s="1401"/>
      <c r="B27" s="1360"/>
      <c r="C27" s="1401"/>
      <c r="D27" s="1401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P27" s="1401"/>
      <c r="Q27" s="1401"/>
      <c r="R27" s="1401"/>
      <c r="S27" s="1401"/>
      <c r="T27" s="1360"/>
      <c r="U27" s="1401"/>
      <c r="V27" s="1401"/>
    </row>
    <row r="28" spans="1:22" ht="16.5" customHeight="1" x14ac:dyDescent="0.4">
      <c r="A28" s="1401"/>
      <c r="B28" s="1360"/>
      <c r="C28" s="1401"/>
      <c r="D28" s="1401"/>
      <c r="E28" s="1401"/>
      <c r="F28" s="1401"/>
      <c r="G28" s="1401"/>
      <c r="H28" s="1401"/>
      <c r="I28" s="1401"/>
      <c r="J28" s="1401"/>
      <c r="K28" s="1401"/>
      <c r="L28" s="1401"/>
      <c r="M28" s="1401"/>
      <c r="N28" s="1401"/>
      <c r="O28" s="1401"/>
      <c r="P28" s="1401"/>
      <c r="Q28" s="1401"/>
      <c r="R28" s="1401"/>
      <c r="S28" s="1401"/>
      <c r="T28" s="1360"/>
      <c r="U28" s="1401"/>
      <c r="V28" s="1401"/>
    </row>
    <row r="29" spans="1:22" ht="16.5" customHeight="1" x14ac:dyDescent="0.4">
      <c r="A29" s="1401"/>
      <c r="B29" s="1360"/>
      <c r="C29" s="1401"/>
      <c r="D29" s="1401"/>
      <c r="E29" s="1401"/>
      <c r="F29" s="1401"/>
      <c r="G29" s="1401"/>
      <c r="H29" s="1401"/>
      <c r="I29" s="1401"/>
      <c r="J29" s="1401"/>
      <c r="K29" s="1401"/>
      <c r="L29" s="1401"/>
      <c r="M29" s="1401"/>
      <c r="N29" s="1401"/>
      <c r="O29" s="1401"/>
      <c r="P29" s="1401"/>
      <c r="Q29" s="1401"/>
      <c r="R29" s="1401"/>
      <c r="S29" s="1401"/>
      <c r="T29" s="1360"/>
      <c r="U29" s="1401"/>
      <c r="V29" s="1401"/>
    </row>
    <row r="30" spans="1:22" ht="16.5" customHeight="1" x14ac:dyDescent="0.4">
      <c r="A30" s="1401"/>
      <c r="B30" s="1360"/>
      <c r="C30" s="1401"/>
      <c r="D30" s="1401"/>
      <c r="E30" s="1401"/>
      <c r="F30" s="1401"/>
      <c r="G30" s="1401"/>
      <c r="H30" s="1401"/>
      <c r="I30" s="1401"/>
      <c r="J30" s="1401"/>
      <c r="K30" s="1401"/>
      <c r="L30" s="1401"/>
      <c r="M30" s="1401"/>
      <c r="N30" s="1401"/>
      <c r="O30" s="1401"/>
      <c r="P30" s="1401"/>
      <c r="Q30" s="1401"/>
      <c r="R30" s="1401"/>
      <c r="S30" s="1401"/>
      <c r="T30" s="1360"/>
      <c r="U30" s="1401"/>
      <c r="V30" s="1401"/>
    </row>
    <row r="31" spans="1:22" ht="16.5" customHeight="1" x14ac:dyDescent="0.4">
      <c r="A31" s="1401"/>
      <c r="B31" s="1360"/>
      <c r="C31" s="1401"/>
      <c r="D31" s="1401"/>
      <c r="E31" s="1401"/>
      <c r="F31" s="1401"/>
      <c r="G31" s="1401"/>
      <c r="H31" s="1401"/>
      <c r="I31" s="1401"/>
      <c r="J31" s="1401"/>
      <c r="K31" s="1401"/>
      <c r="L31" s="1401"/>
      <c r="M31" s="1401"/>
      <c r="N31" s="1401"/>
      <c r="O31" s="1401"/>
      <c r="P31" s="1401"/>
      <c r="Q31" s="1401"/>
      <c r="R31" s="1401"/>
      <c r="S31" s="1401"/>
      <c r="T31" s="1360"/>
      <c r="U31" s="1401"/>
      <c r="V31" s="1401"/>
    </row>
    <row r="32" spans="1:22" ht="16.5" customHeight="1" x14ac:dyDescent="0.4">
      <c r="A32" s="1401"/>
      <c r="B32" s="1360"/>
      <c r="C32" s="1401"/>
      <c r="D32" s="1401"/>
      <c r="E32" s="1401"/>
      <c r="F32" s="1401"/>
      <c r="G32" s="1401"/>
      <c r="H32" s="1401"/>
      <c r="I32" s="1401"/>
      <c r="J32" s="1401"/>
      <c r="K32" s="1401"/>
      <c r="L32" s="1401"/>
      <c r="M32" s="1401"/>
      <c r="N32" s="1401"/>
      <c r="O32" s="1401"/>
      <c r="P32" s="1401"/>
      <c r="Q32" s="1401"/>
      <c r="R32" s="1401"/>
      <c r="S32" s="1401"/>
      <c r="T32" s="1360"/>
      <c r="U32" s="1401"/>
      <c r="V32" s="1401"/>
    </row>
    <row r="33" spans="1:22" ht="16.5" customHeight="1" x14ac:dyDescent="0.4">
      <c r="A33" s="1401"/>
      <c r="B33" s="1360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360"/>
      <c r="U33" s="1401"/>
      <c r="V33" s="1401"/>
    </row>
    <row r="34" spans="1:22" ht="16.5" customHeight="1" x14ac:dyDescent="0.4">
      <c r="A34" s="1401"/>
      <c r="B34" s="1360"/>
      <c r="C34" s="1401"/>
      <c r="D34" s="1401"/>
      <c r="E34" s="1401"/>
      <c r="F34" s="1401"/>
      <c r="G34" s="1401"/>
      <c r="H34" s="1401"/>
      <c r="I34" s="1401"/>
      <c r="J34" s="1401"/>
      <c r="K34" s="1401"/>
      <c r="L34" s="1401"/>
      <c r="M34" s="1401"/>
      <c r="N34" s="1401"/>
      <c r="O34" s="1401"/>
      <c r="P34" s="1401"/>
      <c r="Q34" s="1401"/>
      <c r="R34" s="1401"/>
      <c r="S34" s="1401"/>
      <c r="T34" s="1360"/>
      <c r="U34" s="1401"/>
      <c r="V34" s="1401"/>
    </row>
    <row r="35" spans="1:22" ht="16.5" customHeight="1" x14ac:dyDescent="0.4">
      <c r="A35" s="1401"/>
      <c r="B35" s="1360"/>
      <c r="C35" s="1401"/>
      <c r="D35" s="1401"/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360"/>
      <c r="U35" s="1401"/>
      <c r="V35" s="1401"/>
    </row>
    <row r="36" spans="1:22" ht="16.5" customHeight="1" x14ac:dyDescent="0.4">
      <c r="A36" s="1401"/>
      <c r="B36" s="1360"/>
      <c r="C36" s="1401"/>
      <c r="D36" s="1401"/>
      <c r="E36" s="1401"/>
      <c r="F36" s="1401"/>
      <c r="G36" s="1401"/>
      <c r="H36" s="1401"/>
      <c r="I36" s="1401"/>
      <c r="J36" s="1401"/>
      <c r="K36" s="1401"/>
      <c r="L36" s="1401"/>
      <c r="M36" s="1401"/>
      <c r="N36" s="1401"/>
      <c r="O36" s="1401"/>
      <c r="P36" s="1401"/>
      <c r="Q36" s="1401"/>
      <c r="R36" s="1401"/>
      <c r="S36" s="1401"/>
      <c r="T36" s="1360"/>
      <c r="U36" s="1401"/>
      <c r="V36" s="1401"/>
    </row>
    <row r="37" spans="1:22" ht="16.5" customHeight="1" x14ac:dyDescent="0.4">
      <c r="A37" s="1401"/>
      <c r="B37" s="1360"/>
      <c r="C37" s="1401"/>
      <c r="D37" s="1401"/>
      <c r="E37" s="1401"/>
      <c r="F37" s="1401"/>
      <c r="G37" s="1401"/>
      <c r="H37" s="1401"/>
      <c r="I37" s="1401"/>
      <c r="J37" s="1401"/>
      <c r="K37" s="1401"/>
      <c r="L37" s="1401"/>
      <c r="M37" s="1401"/>
      <c r="N37" s="1401"/>
      <c r="O37" s="1401"/>
      <c r="P37" s="1401"/>
      <c r="Q37" s="1401"/>
      <c r="R37" s="1401"/>
      <c r="S37" s="1401"/>
      <c r="T37" s="1360"/>
      <c r="U37" s="1401"/>
      <c r="V37" s="1401"/>
    </row>
    <row r="38" spans="1:22" ht="16.5" customHeight="1" x14ac:dyDescent="0.4">
      <c r="A38" s="1401"/>
      <c r="B38" s="1360"/>
      <c r="C38" s="1401"/>
      <c r="D38" s="1401"/>
      <c r="E38" s="1401"/>
      <c r="F38" s="1401"/>
      <c r="G38" s="1401"/>
      <c r="H38" s="1401"/>
      <c r="I38" s="1401"/>
      <c r="J38" s="1401"/>
      <c r="K38" s="1401"/>
      <c r="L38" s="1401"/>
      <c r="M38" s="1401"/>
      <c r="N38" s="1401"/>
      <c r="O38" s="1401"/>
      <c r="P38" s="1401"/>
      <c r="Q38" s="1401"/>
      <c r="R38" s="1401"/>
      <c r="S38" s="1401"/>
      <c r="T38" s="1360"/>
      <c r="U38" s="1401"/>
      <c r="V38" s="1401"/>
    </row>
    <row r="39" spans="1:22" ht="16.5" customHeight="1" x14ac:dyDescent="0.4">
      <c r="A39" s="1401"/>
      <c r="B39" s="1360"/>
      <c r="C39" s="1401"/>
      <c r="D39" s="1401"/>
      <c r="E39" s="1401"/>
      <c r="F39" s="1401"/>
      <c r="G39" s="1401"/>
      <c r="H39" s="1401"/>
      <c r="I39" s="1401"/>
      <c r="J39" s="1401"/>
      <c r="K39" s="1401"/>
      <c r="L39" s="1401"/>
      <c r="M39" s="1401"/>
      <c r="N39" s="1401"/>
      <c r="O39" s="1401"/>
      <c r="P39" s="1401"/>
      <c r="Q39" s="1401"/>
      <c r="R39" s="1401"/>
      <c r="S39" s="1401"/>
      <c r="T39" s="1360"/>
      <c r="U39" s="1401"/>
      <c r="V39" s="1401"/>
    </row>
    <row r="40" spans="1:22" ht="16.5" customHeight="1" x14ac:dyDescent="0.4">
      <c r="A40" s="1401"/>
      <c r="B40" s="1360"/>
      <c r="C40" s="1401"/>
      <c r="D40" s="1401"/>
      <c r="E40" s="1401"/>
      <c r="F40" s="1401"/>
      <c r="G40" s="1401"/>
      <c r="H40" s="1401"/>
      <c r="I40" s="1401"/>
      <c r="J40" s="1401"/>
      <c r="K40" s="1401"/>
      <c r="L40" s="1401"/>
      <c r="M40" s="1401"/>
      <c r="N40" s="1401"/>
      <c r="O40" s="1401"/>
      <c r="P40" s="1401"/>
      <c r="Q40" s="1401"/>
      <c r="R40" s="1401"/>
      <c r="S40" s="1401"/>
      <c r="T40" s="1360"/>
      <c r="U40" s="1401"/>
      <c r="V40" s="1401"/>
    </row>
    <row r="41" spans="1:22" ht="16.5" customHeight="1" x14ac:dyDescent="0.4">
      <c r="A41" s="1401"/>
      <c r="B41" s="1360"/>
      <c r="C41" s="1401"/>
      <c r="D41" s="1401"/>
      <c r="E41" s="1401"/>
      <c r="F41" s="1401"/>
      <c r="G41" s="1401"/>
      <c r="H41" s="1401"/>
      <c r="I41" s="1401"/>
      <c r="J41" s="1401"/>
      <c r="K41" s="1401"/>
      <c r="L41" s="1401"/>
      <c r="M41" s="1401"/>
      <c r="N41" s="1401"/>
      <c r="O41" s="1401"/>
      <c r="P41" s="1401"/>
      <c r="Q41" s="1401"/>
      <c r="R41" s="1401"/>
      <c r="S41" s="1401"/>
      <c r="T41" s="1360"/>
      <c r="U41" s="1401"/>
      <c r="V41" s="1401"/>
    </row>
    <row r="42" spans="1:22" ht="16.5" customHeight="1" x14ac:dyDescent="0.4">
      <c r="A42" s="1401"/>
      <c r="B42" s="1360"/>
      <c r="C42" s="1401"/>
      <c r="D42" s="1401"/>
      <c r="E42" s="1401"/>
      <c r="F42" s="1401"/>
      <c r="G42" s="1401"/>
      <c r="H42" s="1401"/>
      <c r="I42" s="1401"/>
      <c r="J42" s="1401"/>
      <c r="K42" s="1401"/>
      <c r="L42" s="1401"/>
      <c r="M42" s="1401"/>
      <c r="N42" s="1401"/>
      <c r="O42" s="1401"/>
      <c r="P42" s="1401"/>
      <c r="Q42" s="1401"/>
      <c r="R42" s="1401"/>
      <c r="S42" s="1401"/>
      <c r="T42" s="1360"/>
      <c r="U42" s="1401"/>
      <c r="V42" s="1401"/>
    </row>
    <row r="43" spans="1:22" ht="16.5" customHeight="1" x14ac:dyDescent="0.4">
      <c r="A43" s="1401"/>
      <c r="B43" s="1360"/>
      <c r="C43" s="1401"/>
      <c r="D43" s="1401"/>
      <c r="E43" s="1401"/>
      <c r="F43" s="1401"/>
      <c r="G43" s="1401"/>
      <c r="H43" s="1401"/>
      <c r="I43" s="1401"/>
      <c r="J43" s="1401"/>
      <c r="K43" s="1401"/>
      <c r="L43" s="1401"/>
      <c r="M43" s="1401"/>
      <c r="N43" s="1401"/>
      <c r="O43" s="1401"/>
      <c r="P43" s="1401"/>
      <c r="Q43" s="1401"/>
      <c r="R43" s="1401"/>
      <c r="S43" s="1401"/>
      <c r="T43" s="1360"/>
      <c r="U43" s="1401"/>
      <c r="V43" s="1401"/>
    </row>
    <row r="44" spans="1:22" ht="16.5" customHeight="1" x14ac:dyDescent="0.4">
      <c r="A44" s="1401"/>
      <c r="B44" s="1360"/>
      <c r="C44" s="1401"/>
      <c r="D44" s="1401"/>
      <c r="E44" s="1401"/>
      <c r="F44" s="1401"/>
      <c r="G44" s="1401"/>
      <c r="H44" s="1401"/>
      <c r="I44" s="1401"/>
      <c r="J44" s="1401"/>
      <c r="K44" s="1401"/>
      <c r="L44" s="1401"/>
      <c r="M44" s="1401"/>
      <c r="N44" s="1401"/>
      <c r="O44" s="1401"/>
      <c r="P44" s="1401"/>
      <c r="Q44" s="1401"/>
      <c r="R44" s="1401"/>
      <c r="S44" s="1401"/>
      <c r="T44" s="1360"/>
      <c r="U44" s="1401"/>
      <c r="V44" s="1401"/>
    </row>
    <row r="45" spans="1:22" ht="16.5" customHeight="1" x14ac:dyDescent="0.4">
      <c r="A45" s="1401"/>
      <c r="B45" s="1360"/>
      <c r="C45" s="1401"/>
      <c r="D45" s="1401"/>
      <c r="E45" s="1401"/>
      <c r="F45" s="1401"/>
      <c r="G45" s="1401"/>
      <c r="H45" s="1401"/>
      <c r="I45" s="1401"/>
      <c r="J45" s="1401"/>
      <c r="K45" s="1401"/>
      <c r="L45" s="1401"/>
      <c r="M45" s="1401"/>
      <c r="N45" s="1401"/>
      <c r="O45" s="1401"/>
      <c r="P45" s="1401"/>
      <c r="Q45" s="1401"/>
      <c r="R45" s="1401"/>
      <c r="S45" s="1401"/>
      <c r="T45" s="1360"/>
      <c r="U45" s="1401"/>
      <c r="V45" s="1401"/>
    </row>
    <row r="46" spans="1:22" ht="16.5" customHeight="1" x14ac:dyDescent="0.4">
      <c r="A46" s="1401"/>
      <c r="B46" s="1360"/>
      <c r="C46" s="1401"/>
      <c r="D46" s="1401"/>
      <c r="E46" s="1401"/>
      <c r="F46" s="1401"/>
      <c r="G46" s="1401"/>
      <c r="H46" s="1401"/>
      <c r="I46" s="1401"/>
      <c r="J46" s="1401"/>
      <c r="K46" s="1401"/>
      <c r="L46" s="1401"/>
      <c r="M46" s="1401"/>
      <c r="N46" s="1401"/>
      <c r="O46" s="1401"/>
      <c r="P46" s="1401"/>
      <c r="Q46" s="1401"/>
      <c r="R46" s="1401"/>
      <c r="S46" s="1401"/>
      <c r="T46" s="1360"/>
      <c r="U46" s="1401"/>
      <c r="V46" s="1401"/>
    </row>
    <row r="47" spans="1:22" ht="16.5" customHeight="1" x14ac:dyDescent="0.4">
      <c r="A47" s="1401"/>
      <c r="B47" s="1360"/>
      <c r="C47" s="1401"/>
      <c r="D47" s="1401"/>
      <c r="E47" s="1401"/>
      <c r="F47" s="1401"/>
      <c r="G47" s="1401"/>
      <c r="H47" s="1401"/>
      <c r="I47" s="1401"/>
      <c r="J47" s="1401"/>
      <c r="K47" s="1401"/>
      <c r="L47" s="1401"/>
      <c r="M47" s="1401"/>
      <c r="N47" s="1401"/>
      <c r="O47" s="1401"/>
      <c r="P47" s="1401"/>
      <c r="Q47" s="1401"/>
      <c r="R47" s="1401"/>
      <c r="S47" s="1401"/>
      <c r="T47" s="1360"/>
      <c r="U47" s="1401"/>
      <c r="V47" s="1401"/>
    </row>
    <row r="48" spans="1:22" ht="16.5" customHeight="1" x14ac:dyDescent="0.4">
      <c r="A48" s="1401"/>
      <c r="B48" s="1360"/>
      <c r="C48" s="1401"/>
      <c r="D48" s="1401"/>
      <c r="E48" s="1401"/>
      <c r="F48" s="1401"/>
      <c r="G48" s="1401"/>
      <c r="H48" s="1401"/>
      <c r="I48" s="1401"/>
      <c r="J48" s="1401"/>
      <c r="K48" s="1401"/>
      <c r="L48" s="1401"/>
      <c r="M48" s="1401"/>
      <c r="N48" s="1401"/>
      <c r="O48" s="1401"/>
      <c r="P48" s="1401"/>
      <c r="Q48" s="1401"/>
      <c r="R48" s="1401"/>
      <c r="S48" s="1401"/>
      <c r="T48" s="1360"/>
      <c r="U48" s="1401"/>
      <c r="V48" s="1401"/>
    </row>
    <row r="49" spans="1:22" ht="16.5" customHeight="1" x14ac:dyDescent="0.4">
      <c r="A49" s="1401"/>
      <c r="B49" s="1360"/>
      <c r="C49" s="1401"/>
      <c r="D49" s="1401"/>
      <c r="E49" s="1401"/>
      <c r="F49" s="1401"/>
      <c r="G49" s="1401"/>
      <c r="H49" s="1401"/>
      <c r="I49" s="1401"/>
      <c r="J49" s="1401"/>
      <c r="K49" s="1401"/>
      <c r="L49" s="1401"/>
      <c r="M49" s="1401"/>
      <c r="N49" s="1401"/>
      <c r="O49" s="1401"/>
      <c r="P49" s="1401"/>
      <c r="Q49" s="1401"/>
      <c r="R49" s="1401"/>
      <c r="S49" s="1401"/>
      <c r="T49" s="1360"/>
      <c r="U49" s="1401"/>
      <c r="V49" s="1401"/>
    </row>
    <row r="50" spans="1:22" ht="16.5" customHeight="1" x14ac:dyDescent="0.4">
      <c r="A50" s="1401"/>
      <c r="B50" s="1360"/>
      <c r="C50" s="1401"/>
      <c r="D50" s="1401"/>
      <c r="E50" s="1401"/>
      <c r="F50" s="1401"/>
      <c r="G50" s="1401"/>
      <c r="H50" s="1401"/>
      <c r="I50" s="1401"/>
      <c r="J50" s="1401"/>
      <c r="K50" s="1401"/>
      <c r="L50" s="1401"/>
      <c r="M50" s="1401"/>
      <c r="N50" s="1401"/>
      <c r="O50" s="1401"/>
      <c r="P50" s="1401"/>
      <c r="Q50" s="1401"/>
      <c r="R50" s="1401"/>
      <c r="S50" s="1401"/>
      <c r="T50" s="1360"/>
      <c r="U50" s="1401"/>
      <c r="V50" s="1401"/>
    </row>
    <row r="51" spans="1:22" ht="16.5" customHeight="1" x14ac:dyDescent="0.4">
      <c r="A51" s="1401"/>
      <c r="B51" s="1360"/>
      <c r="C51" s="1401"/>
      <c r="D51" s="1401"/>
      <c r="E51" s="1401"/>
      <c r="F51" s="1401"/>
      <c r="G51" s="1401"/>
      <c r="H51" s="1401"/>
      <c r="I51" s="1401"/>
      <c r="J51" s="1401"/>
      <c r="K51" s="1401"/>
      <c r="L51" s="1401"/>
      <c r="M51" s="1401"/>
      <c r="N51" s="1401"/>
      <c r="O51" s="1401"/>
      <c r="P51" s="1401"/>
      <c r="Q51" s="1401"/>
      <c r="R51" s="1401"/>
      <c r="S51" s="1401"/>
      <c r="T51" s="1360"/>
      <c r="U51" s="1401"/>
      <c r="V51" s="1401"/>
    </row>
    <row r="52" spans="1:22" ht="16.5" customHeight="1" x14ac:dyDescent="0.4">
      <c r="A52" s="1401"/>
      <c r="B52" s="1360"/>
      <c r="C52" s="1401"/>
      <c r="D52" s="1401"/>
      <c r="E52" s="1401"/>
      <c r="F52" s="1401"/>
      <c r="G52" s="1401"/>
      <c r="H52" s="1401"/>
      <c r="I52" s="1401"/>
      <c r="J52" s="1401"/>
      <c r="K52" s="1401"/>
      <c r="L52" s="1401"/>
      <c r="M52" s="1401"/>
      <c r="N52" s="1401"/>
      <c r="O52" s="1401"/>
      <c r="P52" s="1401"/>
      <c r="Q52" s="1401"/>
      <c r="R52" s="1401"/>
      <c r="S52" s="1401"/>
      <c r="T52" s="1360"/>
      <c r="U52" s="1401"/>
      <c r="V52" s="1401"/>
    </row>
    <row r="53" spans="1:22" ht="16.5" customHeight="1" x14ac:dyDescent="0.4">
      <c r="A53" s="1401"/>
      <c r="B53" s="1360"/>
      <c r="C53" s="1401"/>
      <c r="D53" s="1401"/>
      <c r="E53" s="1401"/>
      <c r="F53" s="1401"/>
      <c r="G53" s="1401"/>
      <c r="H53" s="1401"/>
      <c r="I53" s="1401"/>
      <c r="J53" s="1401"/>
      <c r="K53" s="1401"/>
      <c r="L53" s="1401"/>
      <c r="M53" s="1401"/>
      <c r="N53" s="1401"/>
      <c r="O53" s="1401"/>
      <c r="P53" s="1401"/>
      <c r="Q53" s="1401"/>
      <c r="R53" s="1401"/>
      <c r="S53" s="1401"/>
      <c r="T53" s="1360"/>
      <c r="U53" s="1401"/>
      <c r="V53" s="1401"/>
    </row>
    <row r="54" spans="1:22" ht="16.5" customHeight="1" x14ac:dyDescent="0.4">
      <c r="A54" s="1401"/>
      <c r="B54" s="1360"/>
      <c r="C54" s="1401"/>
      <c r="D54" s="1401"/>
      <c r="E54" s="1401"/>
      <c r="F54" s="1401"/>
      <c r="G54" s="1401"/>
      <c r="H54" s="1401"/>
      <c r="I54" s="1401"/>
      <c r="J54" s="1401"/>
      <c r="K54" s="1401"/>
      <c r="L54" s="1401"/>
      <c r="M54" s="1401"/>
      <c r="N54" s="1401"/>
      <c r="O54" s="1401"/>
      <c r="P54" s="1401"/>
      <c r="Q54" s="1401"/>
      <c r="R54" s="1401"/>
      <c r="S54" s="1401"/>
      <c r="T54" s="1360"/>
      <c r="U54" s="1401"/>
      <c r="V54" s="1401"/>
    </row>
    <row r="55" spans="1:22" ht="16.5" customHeight="1" x14ac:dyDescent="0.4">
      <c r="A55" s="1401"/>
      <c r="B55" s="1360"/>
      <c r="C55" s="1401"/>
      <c r="D55" s="1401"/>
      <c r="E55" s="1401"/>
      <c r="F55" s="1401"/>
      <c r="G55" s="1401"/>
      <c r="H55" s="1401"/>
      <c r="I55" s="1401"/>
      <c r="J55" s="1401"/>
      <c r="K55" s="1401"/>
      <c r="L55" s="1401"/>
      <c r="M55" s="1401"/>
      <c r="N55" s="1401"/>
      <c r="O55" s="1401"/>
      <c r="P55" s="1401"/>
      <c r="Q55" s="1401"/>
      <c r="R55" s="1401"/>
      <c r="S55" s="1401"/>
      <c r="T55" s="1360"/>
      <c r="U55" s="1401"/>
      <c r="V55" s="1401"/>
    </row>
    <row r="56" spans="1:22" ht="16.5" customHeight="1" x14ac:dyDescent="0.4">
      <c r="A56" s="1401"/>
      <c r="B56" s="1360"/>
      <c r="C56" s="1401"/>
      <c r="D56" s="1401"/>
      <c r="E56" s="1401"/>
      <c r="F56" s="1401"/>
      <c r="G56" s="1401"/>
      <c r="H56" s="1401"/>
      <c r="I56" s="1401"/>
      <c r="J56" s="1401"/>
      <c r="K56" s="1401"/>
      <c r="L56" s="1401"/>
      <c r="M56" s="1401"/>
      <c r="N56" s="1401"/>
      <c r="O56" s="1401"/>
      <c r="P56" s="1401"/>
      <c r="Q56" s="1401"/>
      <c r="R56" s="1401"/>
      <c r="S56" s="1401"/>
      <c r="T56" s="1360"/>
      <c r="U56" s="1401"/>
      <c r="V56" s="1401"/>
    </row>
    <row r="57" spans="1:22" ht="16.5" customHeight="1" x14ac:dyDescent="0.4">
      <c r="A57" s="1401"/>
      <c r="B57" s="1360"/>
      <c r="C57" s="1401"/>
      <c r="D57" s="1401"/>
      <c r="E57" s="1401"/>
      <c r="F57" s="1401"/>
      <c r="G57" s="1401"/>
      <c r="H57" s="1401"/>
      <c r="I57" s="1401"/>
      <c r="J57" s="1401"/>
      <c r="K57" s="1401"/>
      <c r="L57" s="1401"/>
      <c r="M57" s="1401"/>
      <c r="N57" s="1401"/>
      <c r="O57" s="1401"/>
      <c r="P57" s="1401"/>
      <c r="Q57" s="1401"/>
      <c r="R57" s="1401"/>
      <c r="S57" s="1401"/>
      <c r="T57" s="1360"/>
      <c r="U57" s="1401"/>
      <c r="V57" s="1401"/>
    </row>
    <row r="58" spans="1:22" ht="16.5" customHeight="1" x14ac:dyDescent="0.4">
      <c r="A58" s="1401"/>
      <c r="B58" s="1360"/>
      <c r="C58" s="1401"/>
      <c r="D58" s="1401"/>
      <c r="E58" s="1401"/>
      <c r="F58" s="1401"/>
      <c r="G58" s="1401"/>
      <c r="H58" s="1401"/>
      <c r="I58" s="1401"/>
      <c r="J58" s="1401"/>
      <c r="K58" s="1401"/>
      <c r="L58" s="1401"/>
      <c r="M58" s="1401"/>
      <c r="N58" s="1401"/>
      <c r="O58" s="1401"/>
      <c r="P58" s="1401"/>
      <c r="Q58" s="1401"/>
      <c r="R58" s="1401"/>
      <c r="S58" s="1401"/>
      <c r="T58" s="1360"/>
      <c r="U58" s="1401"/>
      <c r="V58" s="1401"/>
    </row>
    <row r="59" spans="1:22" ht="16.5" customHeight="1" x14ac:dyDescent="0.4">
      <c r="A59" s="1401"/>
      <c r="B59" s="1360"/>
      <c r="C59" s="1401"/>
      <c r="D59" s="1401"/>
      <c r="E59" s="1401"/>
      <c r="F59" s="1401"/>
      <c r="G59" s="1401"/>
      <c r="H59" s="1401"/>
      <c r="I59" s="1401"/>
      <c r="J59" s="1401"/>
      <c r="K59" s="1401"/>
      <c r="L59" s="1401"/>
      <c r="M59" s="1401"/>
      <c r="N59" s="1401"/>
      <c r="O59" s="1401"/>
      <c r="P59" s="1401"/>
      <c r="Q59" s="1401"/>
      <c r="R59" s="1401"/>
      <c r="S59" s="1401"/>
      <c r="T59" s="1360"/>
      <c r="U59" s="1401"/>
      <c r="V59" s="1401"/>
    </row>
    <row r="60" spans="1:22" ht="16.5" customHeight="1" x14ac:dyDescent="0.4">
      <c r="A60" s="1401"/>
      <c r="B60" s="1360"/>
      <c r="C60" s="1401"/>
      <c r="D60" s="1401"/>
      <c r="E60" s="1401"/>
      <c r="F60" s="1401"/>
      <c r="G60" s="1401"/>
      <c r="H60" s="1401"/>
      <c r="I60" s="1401"/>
      <c r="J60" s="1401"/>
      <c r="K60" s="1401"/>
      <c r="L60" s="1401"/>
      <c r="M60" s="1401"/>
      <c r="N60" s="1401"/>
      <c r="O60" s="1401"/>
      <c r="P60" s="1401"/>
      <c r="Q60" s="1401"/>
      <c r="R60" s="1401"/>
      <c r="S60" s="1401"/>
      <c r="T60" s="1360"/>
      <c r="U60" s="1401"/>
      <c r="V60" s="1401"/>
    </row>
    <row r="61" spans="1:22" ht="16.5" customHeight="1" x14ac:dyDescent="0.4">
      <c r="A61" s="1401"/>
      <c r="B61" s="1360"/>
      <c r="C61" s="1401"/>
      <c r="D61" s="1401"/>
      <c r="E61" s="1401"/>
      <c r="F61" s="1401"/>
      <c r="G61" s="1401"/>
      <c r="H61" s="1401"/>
      <c r="I61" s="1401"/>
      <c r="J61" s="1401"/>
      <c r="K61" s="1401"/>
      <c r="L61" s="1401"/>
      <c r="M61" s="1401"/>
      <c r="N61" s="1401"/>
      <c r="O61" s="1401"/>
      <c r="P61" s="1401"/>
      <c r="Q61" s="1401"/>
      <c r="R61" s="1401"/>
      <c r="S61" s="1401"/>
      <c r="T61" s="1360"/>
      <c r="U61" s="1401"/>
      <c r="V61" s="1401"/>
    </row>
    <row r="62" spans="1:22" ht="16.5" customHeight="1" x14ac:dyDescent="0.4">
      <c r="A62" s="1401"/>
      <c r="B62" s="1360"/>
      <c r="C62" s="1401"/>
      <c r="D62" s="1401"/>
      <c r="E62" s="1401"/>
      <c r="F62" s="1401"/>
      <c r="G62" s="1401"/>
      <c r="H62" s="1401"/>
      <c r="I62" s="1401"/>
      <c r="J62" s="1401"/>
      <c r="K62" s="1401"/>
      <c r="L62" s="1401"/>
      <c r="M62" s="1401"/>
      <c r="N62" s="1401"/>
      <c r="O62" s="1401"/>
      <c r="P62" s="1401"/>
      <c r="Q62" s="1401"/>
      <c r="R62" s="1401"/>
      <c r="S62" s="1401"/>
      <c r="T62" s="1360"/>
      <c r="U62" s="1401"/>
      <c r="V62" s="1401"/>
    </row>
    <row r="63" spans="1:22" ht="16.5" customHeight="1" x14ac:dyDescent="0.4">
      <c r="A63" s="1401"/>
      <c r="B63" s="1360"/>
      <c r="C63" s="1401"/>
      <c r="D63" s="1401"/>
      <c r="E63" s="1401"/>
      <c r="F63" s="1401"/>
      <c r="G63" s="1401"/>
      <c r="H63" s="1401"/>
      <c r="I63" s="1401"/>
      <c r="J63" s="1401"/>
      <c r="K63" s="1401"/>
      <c r="L63" s="1401"/>
      <c r="M63" s="1401"/>
      <c r="N63" s="1401"/>
      <c r="O63" s="1401"/>
      <c r="P63" s="1401"/>
      <c r="Q63" s="1401"/>
      <c r="R63" s="1401"/>
      <c r="S63" s="1401"/>
      <c r="T63" s="1360"/>
      <c r="U63" s="1401"/>
      <c r="V63" s="1401"/>
    </row>
    <row r="64" spans="1:22" ht="16.5" customHeight="1" x14ac:dyDescent="0.4">
      <c r="A64" s="1401"/>
      <c r="B64" s="1360"/>
      <c r="C64" s="1401"/>
      <c r="D64" s="1401"/>
      <c r="E64" s="1401"/>
      <c r="F64" s="1401"/>
      <c r="G64" s="1401"/>
      <c r="H64" s="1401"/>
      <c r="I64" s="1401"/>
      <c r="J64" s="1401"/>
      <c r="K64" s="1401"/>
      <c r="L64" s="1401"/>
      <c r="M64" s="1401"/>
      <c r="N64" s="1401"/>
      <c r="O64" s="1401"/>
      <c r="P64" s="1401"/>
      <c r="Q64" s="1401"/>
      <c r="R64" s="1401"/>
      <c r="S64" s="1401"/>
      <c r="T64" s="1360"/>
      <c r="U64" s="1401"/>
      <c r="V64" s="1401"/>
    </row>
    <row r="65" spans="1:22" ht="16.5" customHeight="1" x14ac:dyDescent="0.4">
      <c r="A65" s="1401"/>
      <c r="B65" s="1360"/>
      <c r="C65" s="1401"/>
      <c r="D65" s="1401"/>
      <c r="E65" s="1401"/>
      <c r="F65" s="1401"/>
      <c r="G65" s="1401"/>
      <c r="H65" s="1401"/>
      <c r="I65" s="1401"/>
      <c r="J65" s="1401"/>
      <c r="K65" s="1401"/>
      <c r="L65" s="1401"/>
      <c r="M65" s="1401"/>
      <c r="N65" s="1401"/>
      <c r="O65" s="1401"/>
      <c r="P65" s="1401"/>
      <c r="Q65" s="1401"/>
      <c r="R65" s="1401"/>
      <c r="S65" s="1401"/>
      <c r="T65" s="1360"/>
      <c r="U65" s="1401"/>
      <c r="V65" s="1401"/>
    </row>
    <row r="66" spans="1:22" ht="16.5" customHeight="1" x14ac:dyDescent="0.4">
      <c r="A66" s="1401"/>
      <c r="B66" s="1360"/>
      <c r="C66" s="1401"/>
      <c r="D66" s="1401"/>
      <c r="E66" s="1401"/>
      <c r="F66" s="1401"/>
      <c r="G66" s="1401"/>
      <c r="H66" s="1401"/>
      <c r="I66" s="1401"/>
      <c r="J66" s="1401"/>
      <c r="K66" s="1401"/>
      <c r="L66" s="1401"/>
      <c r="M66" s="1401"/>
      <c r="N66" s="1401"/>
      <c r="O66" s="1401"/>
      <c r="P66" s="1401"/>
      <c r="Q66" s="1401"/>
      <c r="R66" s="1401"/>
      <c r="S66" s="1401"/>
      <c r="T66" s="1360"/>
      <c r="U66" s="1401"/>
      <c r="V66" s="1401"/>
    </row>
    <row r="67" spans="1:22" ht="16.5" customHeight="1" x14ac:dyDescent="0.4">
      <c r="A67" s="1401"/>
      <c r="B67" s="1360"/>
      <c r="C67" s="1401"/>
      <c r="D67" s="1401"/>
      <c r="E67" s="1401"/>
      <c r="F67" s="1401"/>
      <c r="G67" s="1401"/>
      <c r="H67" s="1401"/>
      <c r="I67" s="1401"/>
      <c r="J67" s="1401"/>
      <c r="K67" s="1401"/>
      <c r="L67" s="1401"/>
      <c r="M67" s="1401"/>
      <c r="N67" s="1401"/>
      <c r="O67" s="1401"/>
      <c r="P67" s="1401"/>
      <c r="Q67" s="1401"/>
      <c r="R67" s="1401"/>
      <c r="S67" s="1401"/>
      <c r="T67" s="1360"/>
      <c r="U67" s="1401"/>
      <c r="V67" s="1401"/>
    </row>
    <row r="68" spans="1:22" ht="16.5" customHeight="1" x14ac:dyDescent="0.4">
      <c r="A68" s="1401"/>
      <c r="B68" s="1360"/>
      <c r="C68" s="1401"/>
      <c r="D68" s="1401"/>
      <c r="E68" s="1401"/>
      <c r="F68" s="1401"/>
      <c r="G68" s="1401"/>
      <c r="H68" s="1401"/>
      <c r="I68" s="1401"/>
      <c r="J68" s="1401"/>
      <c r="K68" s="1401"/>
      <c r="L68" s="1401"/>
      <c r="M68" s="1401"/>
      <c r="N68" s="1401"/>
      <c r="O68" s="1401"/>
      <c r="P68" s="1401"/>
      <c r="Q68" s="1401"/>
      <c r="R68" s="1401"/>
      <c r="S68" s="1401"/>
      <c r="T68" s="1360"/>
      <c r="U68" s="1401"/>
      <c r="V68" s="1401"/>
    </row>
    <row r="69" spans="1:22" ht="16.5" customHeight="1" x14ac:dyDescent="0.4">
      <c r="A69" s="1401"/>
      <c r="B69" s="1360"/>
      <c r="C69" s="1401"/>
      <c r="D69" s="1401"/>
      <c r="E69" s="1401"/>
      <c r="F69" s="1401"/>
      <c r="G69" s="1401"/>
      <c r="H69" s="1401"/>
      <c r="I69" s="1401"/>
      <c r="J69" s="1401"/>
      <c r="K69" s="1401"/>
      <c r="L69" s="1401"/>
      <c r="M69" s="1401"/>
      <c r="N69" s="1401"/>
      <c r="O69" s="1401"/>
      <c r="P69" s="1401"/>
      <c r="Q69" s="1401"/>
      <c r="R69" s="1401"/>
      <c r="S69" s="1401"/>
      <c r="T69" s="1360"/>
      <c r="U69" s="1401"/>
      <c r="V69" s="1401"/>
    </row>
    <row r="70" spans="1:22" ht="16.5" customHeight="1" x14ac:dyDescent="0.4">
      <c r="A70" s="1401"/>
      <c r="B70" s="1360"/>
      <c r="C70" s="1401"/>
      <c r="D70" s="1401"/>
      <c r="E70" s="1401"/>
      <c r="F70" s="1401"/>
      <c r="G70" s="1401"/>
      <c r="H70" s="1401"/>
      <c r="I70" s="1401"/>
      <c r="J70" s="1401"/>
      <c r="K70" s="1401"/>
      <c r="L70" s="1401"/>
      <c r="M70" s="1401"/>
      <c r="N70" s="1401"/>
      <c r="O70" s="1401"/>
      <c r="P70" s="1401"/>
      <c r="Q70" s="1401"/>
      <c r="R70" s="1401"/>
      <c r="S70" s="1401"/>
      <c r="T70" s="1360"/>
      <c r="U70" s="1401"/>
      <c r="V70" s="1401"/>
    </row>
    <row r="71" spans="1:22" ht="16.5" customHeight="1" x14ac:dyDescent="0.4">
      <c r="A71" s="1401"/>
      <c r="B71" s="1360"/>
      <c r="C71" s="1401"/>
      <c r="D71" s="1401"/>
      <c r="E71" s="1401"/>
      <c r="F71" s="1401"/>
      <c r="G71" s="1401"/>
      <c r="H71" s="1401"/>
      <c r="I71" s="1401"/>
      <c r="J71" s="1401"/>
      <c r="K71" s="1401"/>
      <c r="L71" s="1401"/>
      <c r="M71" s="1401"/>
      <c r="N71" s="1401"/>
      <c r="O71" s="1401"/>
      <c r="P71" s="1401"/>
      <c r="Q71" s="1401"/>
      <c r="R71" s="1401"/>
      <c r="S71" s="1401"/>
      <c r="T71" s="1360"/>
      <c r="U71" s="1401"/>
      <c r="V71" s="1401"/>
    </row>
    <row r="72" spans="1:22" ht="16.5" customHeight="1" x14ac:dyDescent="0.4">
      <c r="A72" s="1401"/>
      <c r="B72" s="1360"/>
      <c r="C72" s="1401"/>
      <c r="D72" s="1401"/>
      <c r="E72" s="1401"/>
      <c r="F72" s="1401"/>
      <c r="G72" s="1401"/>
      <c r="H72" s="1401"/>
      <c r="I72" s="1401"/>
      <c r="J72" s="1401"/>
      <c r="K72" s="1401"/>
      <c r="L72" s="1401"/>
      <c r="M72" s="1401"/>
      <c r="N72" s="1401"/>
      <c r="O72" s="1401"/>
      <c r="P72" s="1401"/>
      <c r="Q72" s="1401"/>
      <c r="R72" s="1401"/>
      <c r="S72" s="1401"/>
      <c r="T72" s="1360"/>
      <c r="U72" s="1401"/>
      <c r="V72" s="1401"/>
    </row>
    <row r="73" spans="1:22" ht="16.5" customHeight="1" x14ac:dyDescent="0.4">
      <c r="A73" s="1401"/>
      <c r="B73" s="1360"/>
      <c r="C73" s="1401"/>
      <c r="D73" s="1401"/>
      <c r="E73" s="1401"/>
      <c r="F73" s="1401"/>
      <c r="G73" s="1401"/>
      <c r="H73" s="1401"/>
      <c r="I73" s="1401"/>
      <c r="J73" s="1401"/>
      <c r="K73" s="1401"/>
      <c r="L73" s="1401"/>
      <c r="M73" s="1401"/>
      <c r="N73" s="1401"/>
      <c r="O73" s="1401"/>
      <c r="P73" s="1401"/>
      <c r="Q73" s="1401"/>
      <c r="R73" s="1401"/>
      <c r="S73" s="1401"/>
      <c r="T73" s="1360"/>
      <c r="U73" s="1401"/>
      <c r="V73" s="1401"/>
    </row>
  </sheetData>
  <mergeCells count="31">
    <mergeCell ref="M18:N19"/>
    <mergeCell ref="M20:N21"/>
    <mergeCell ref="P20:P21"/>
    <mergeCell ref="Q20:R21"/>
    <mergeCell ref="O18:O19"/>
    <mergeCell ref="E20:E21"/>
    <mergeCell ref="G20:G21"/>
    <mergeCell ref="K20:K21"/>
    <mergeCell ref="L20:L21"/>
    <mergeCell ref="O20:O21"/>
    <mergeCell ref="H21:I21"/>
    <mergeCell ref="C16:C17"/>
    <mergeCell ref="J16:L16"/>
    <mergeCell ref="E18:E19"/>
    <mergeCell ref="G18:G19"/>
    <mergeCell ref="K18:K19"/>
    <mergeCell ref="L18:L19"/>
    <mergeCell ref="H19:I19"/>
    <mergeCell ref="M12:M13"/>
    <mergeCell ref="N12:P13"/>
    <mergeCell ref="J13:L13"/>
    <mergeCell ref="I15:I16"/>
    <mergeCell ref="J15:L15"/>
    <mergeCell ref="M15:M16"/>
    <mergeCell ref="N15:P16"/>
    <mergeCell ref="J12:L12"/>
    <mergeCell ref="E8:F8"/>
    <mergeCell ref="G9:H9"/>
    <mergeCell ref="E10:F10"/>
    <mergeCell ref="C12:C15"/>
    <mergeCell ref="I12:I1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B1:V181"/>
  <sheetViews>
    <sheetView workbookViewId="0">
      <selection activeCell="U18" sqref="U18"/>
    </sheetView>
  </sheetViews>
  <sheetFormatPr defaultColWidth="8.8984375" defaultRowHeight="11.25" customHeight="1" x14ac:dyDescent="0.3"/>
  <cols>
    <col min="1" max="1" width="3.69921875" style="828" customWidth="1"/>
    <col min="2" max="2" width="2.69921875" style="825" customWidth="1"/>
    <col min="3" max="3" width="8.8984375" style="828"/>
    <col min="4" max="4" width="5.19921875" style="828" customWidth="1"/>
    <col min="5" max="5" width="4.09765625" style="828" customWidth="1"/>
    <col min="6" max="6" width="4.8984375" style="828" customWidth="1"/>
    <col min="7" max="7" width="6.09765625" style="828" customWidth="1"/>
    <col min="8" max="8" width="2.69921875" style="828" customWidth="1"/>
    <col min="9" max="9" width="2.59765625" style="828" customWidth="1"/>
    <col min="10" max="10" width="4.3984375" style="828" customWidth="1"/>
    <col min="11" max="11" width="5.19921875" style="828" customWidth="1"/>
    <col min="12" max="12" width="5.09765625" style="828" customWidth="1"/>
    <col min="13" max="13" width="5.59765625" style="828" customWidth="1"/>
    <col min="14" max="14" width="3.3984375" style="828" customWidth="1"/>
    <col min="15" max="15" width="9.59765625" style="828" customWidth="1"/>
    <col min="16" max="16" width="2.09765625" style="828" customWidth="1"/>
    <col min="17" max="17" width="19.5" style="828" customWidth="1"/>
    <col min="18" max="18" width="2.09765625" style="825" customWidth="1"/>
    <col min="19" max="16384" width="8.8984375" style="828"/>
  </cols>
  <sheetData>
    <row r="1" spans="2:22" ht="11.25" customHeight="1" x14ac:dyDescent="0.3">
      <c r="B1" s="828"/>
      <c r="R1" s="828"/>
    </row>
    <row r="2" spans="2:22" s="1023" customFormat="1" ht="17.25" customHeight="1" x14ac:dyDescent="0.35">
      <c r="B2" s="923" t="str">
        <f>Inicio!J6</f>
        <v>Estudante</v>
      </c>
      <c r="C2" s="923"/>
      <c r="D2" s="923"/>
      <c r="E2" s="923" t="s">
        <v>256</v>
      </c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  <c r="S2" s="1088"/>
      <c r="T2" s="1088"/>
      <c r="U2" s="1088"/>
      <c r="V2" s="1088"/>
    </row>
    <row r="8" spans="2:22" ht="10.5" customHeight="1" x14ac:dyDescent="0.3"/>
    <row r="9" spans="2:22" ht="15.75" customHeight="1" thickBot="1" x14ac:dyDescent="0.4"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3"/>
      <c r="P9" s="1023"/>
      <c r="Q9" s="1023"/>
    </row>
    <row r="10" spans="2:22" ht="15.75" customHeight="1" thickBot="1" x14ac:dyDescent="0.4">
      <c r="C10" s="1403" t="s">
        <v>432</v>
      </c>
      <c r="D10" s="2045">
        <v>62</v>
      </c>
      <c r="E10" s="2046"/>
      <c r="F10" s="1348" t="s">
        <v>278</v>
      </c>
      <c r="G10" s="1348"/>
      <c r="H10" s="1348"/>
      <c r="I10" s="1348"/>
      <c r="J10" s="1348"/>
      <c r="K10" s="1348"/>
      <c r="L10" s="1348"/>
      <c r="M10" s="1348"/>
      <c r="N10" s="1348"/>
      <c r="O10" s="1348"/>
      <c r="P10" s="1348"/>
      <c r="Q10" s="1348"/>
    </row>
    <row r="11" spans="2:22" ht="15.75" customHeight="1" thickBot="1" x14ac:dyDescent="0.4">
      <c r="C11" s="1403"/>
      <c r="D11" s="1348"/>
      <c r="E11" s="1348"/>
      <c r="F11" s="2047"/>
      <c r="G11" s="2047"/>
      <c r="H11" s="1403"/>
      <c r="I11" s="1348"/>
      <c r="J11" s="1348"/>
      <c r="K11" s="1348"/>
      <c r="L11" s="1348"/>
      <c r="M11" s="1348"/>
      <c r="N11" s="1348"/>
      <c r="O11" s="1348"/>
      <c r="P11" s="1348"/>
      <c r="Q11" s="1392"/>
    </row>
    <row r="12" spans="2:22" ht="15.75" customHeight="1" thickBot="1" x14ac:dyDescent="0.4">
      <c r="C12" s="1403" t="s">
        <v>433</v>
      </c>
      <c r="D12" s="2048">
        <v>88</v>
      </c>
      <c r="E12" s="2049"/>
      <c r="F12" s="1348" t="s">
        <v>259</v>
      </c>
      <c r="G12" s="1023"/>
      <c r="H12" s="1023"/>
      <c r="I12" s="1023"/>
      <c r="J12" s="1023"/>
      <c r="K12" s="1023"/>
      <c r="L12" s="1348"/>
      <c r="M12" s="1348"/>
      <c r="N12" s="1348"/>
      <c r="O12" s="1348"/>
      <c r="P12" s="1348"/>
      <c r="Q12" s="1348"/>
    </row>
    <row r="13" spans="2:22" ht="11.25" customHeight="1" x14ac:dyDescent="0.35">
      <c r="C13" s="1348"/>
      <c r="D13" s="1348"/>
      <c r="E13" s="1348"/>
      <c r="F13" s="1348"/>
      <c r="G13" s="1023"/>
      <c r="H13" s="1023"/>
      <c r="I13" s="1023"/>
      <c r="J13" s="1023"/>
      <c r="K13" s="1023"/>
      <c r="L13" s="1348"/>
      <c r="M13" s="1348"/>
      <c r="N13" s="1348"/>
      <c r="O13" s="1348"/>
      <c r="P13" s="1348"/>
      <c r="Q13" s="1348"/>
    </row>
    <row r="14" spans="2:22" ht="11.25" customHeight="1" x14ac:dyDescent="0.35">
      <c r="C14" s="2050" t="s">
        <v>282</v>
      </c>
      <c r="D14" s="1345"/>
      <c r="E14" s="1345"/>
      <c r="F14" s="1257"/>
      <c r="G14" s="1023"/>
      <c r="H14" s="1023"/>
      <c r="I14" s="1023"/>
      <c r="J14" s="1023"/>
      <c r="K14" s="1023"/>
      <c r="L14" s="1348"/>
      <c r="M14" s="1348"/>
      <c r="N14" s="1348"/>
      <c r="O14" s="1404"/>
      <c r="P14" s="1404"/>
      <c r="Q14" s="1404"/>
    </row>
    <row r="15" spans="2:22" ht="11.25" customHeight="1" x14ac:dyDescent="0.35">
      <c r="C15" s="2050"/>
      <c r="D15" s="1345"/>
      <c r="E15" s="1345"/>
      <c r="F15" s="1257"/>
      <c r="G15" s="1255" t="s">
        <v>283</v>
      </c>
      <c r="H15" s="1713" t="s">
        <v>3</v>
      </c>
      <c r="I15" s="2052" t="s">
        <v>434</v>
      </c>
      <c r="J15" s="2052"/>
      <c r="K15" s="2052"/>
      <c r="L15" s="1713" t="s">
        <v>3</v>
      </c>
      <c r="M15" s="1689" t="s">
        <v>435</v>
      </c>
      <c r="N15" s="1689"/>
      <c r="O15" s="1689"/>
      <c r="P15" s="924"/>
      <c r="Q15" s="924"/>
    </row>
    <row r="16" spans="2:22" ht="15.75" customHeight="1" x14ac:dyDescent="0.35">
      <c r="C16" s="2050"/>
      <c r="D16" s="932" t="s">
        <v>257</v>
      </c>
      <c r="E16" s="932">
        <f>D12</f>
        <v>88</v>
      </c>
      <c r="F16" s="1023" t="str">
        <f>F12</f>
        <v>cm</v>
      </c>
      <c r="G16" s="941" t="s">
        <v>284</v>
      </c>
      <c r="H16" s="1713"/>
      <c r="I16" s="2051" t="s">
        <v>285</v>
      </c>
      <c r="J16" s="2051"/>
      <c r="K16" s="2051"/>
      <c r="L16" s="1713"/>
      <c r="M16" s="1689"/>
      <c r="N16" s="1689"/>
      <c r="O16" s="1689"/>
      <c r="P16" s="924"/>
      <c r="Q16" s="924"/>
    </row>
    <row r="17" spans="2:19" ht="11.25" customHeight="1" x14ac:dyDescent="0.35">
      <c r="C17" s="2050"/>
      <c r="D17" s="1348"/>
      <c r="E17" s="1348"/>
      <c r="F17" s="1348"/>
      <c r="G17" s="1348"/>
      <c r="H17" s="1348"/>
      <c r="I17" s="1348"/>
      <c r="J17" s="1348"/>
      <c r="K17" s="1348"/>
      <c r="L17" s="1348"/>
      <c r="M17" s="1348"/>
      <c r="N17" s="1348"/>
      <c r="O17" s="1348"/>
      <c r="P17" s="1348"/>
      <c r="Q17" s="1348"/>
    </row>
    <row r="18" spans="2:19" ht="18" x14ac:dyDescent="0.35">
      <c r="C18" s="2050"/>
      <c r="D18" s="1023"/>
      <c r="E18" s="1023"/>
      <c r="F18" s="1023"/>
      <c r="G18" s="1255" t="s">
        <v>283</v>
      </c>
      <c r="H18" s="1713" t="s">
        <v>3</v>
      </c>
      <c r="I18" s="2052" t="s">
        <v>434</v>
      </c>
      <c r="J18" s="2052"/>
      <c r="K18" s="2052"/>
      <c r="L18" s="1713" t="s">
        <v>3</v>
      </c>
      <c r="M18" s="1689" t="s">
        <v>436</v>
      </c>
      <c r="N18" s="1689"/>
      <c r="O18" s="1689"/>
      <c r="P18" s="1023"/>
      <c r="Q18" s="1023"/>
    </row>
    <row r="19" spans="2:19" ht="18" x14ac:dyDescent="0.35">
      <c r="C19" s="2053" t="s">
        <v>281</v>
      </c>
      <c r="D19" s="976"/>
      <c r="E19" s="1023"/>
      <c r="F19" s="1023"/>
      <c r="G19" s="1256" t="s">
        <v>279</v>
      </c>
      <c r="H19" s="1713"/>
      <c r="I19" s="2047" t="s">
        <v>437</v>
      </c>
      <c r="J19" s="2047"/>
      <c r="K19" s="2047"/>
      <c r="L19" s="1713"/>
      <c r="M19" s="1689"/>
      <c r="N19" s="1689"/>
      <c r="O19" s="1689"/>
      <c r="P19" s="1023"/>
      <c r="Q19" s="1023"/>
    </row>
    <row r="20" spans="2:19" ht="18.600000000000001" thickBot="1" x14ac:dyDescent="0.4">
      <c r="C20" s="2054"/>
      <c r="D20" s="1405"/>
      <c r="E20" s="1023"/>
      <c r="F20" s="1023"/>
      <c r="G20" s="1345"/>
      <c r="H20" s="1404"/>
      <c r="I20" s="1404"/>
      <c r="J20" s="1404"/>
      <c r="K20" s="1404"/>
      <c r="L20" s="1023"/>
      <c r="M20" s="1023"/>
      <c r="N20" s="1023"/>
      <c r="O20" s="1023"/>
      <c r="P20" s="1023"/>
      <c r="Q20" s="1023"/>
    </row>
    <row r="21" spans="2:19" ht="18" x14ac:dyDescent="0.35">
      <c r="C21" s="1406" t="s">
        <v>283</v>
      </c>
      <c r="D21" s="2026" t="s">
        <v>3</v>
      </c>
      <c r="E21" s="1253">
        <f>E16</f>
        <v>88</v>
      </c>
      <c r="F21" s="2026" t="s">
        <v>3</v>
      </c>
      <c r="G21" s="1395" t="str">
        <f>CONCATENATE("sen(",D10,"°)")</f>
        <v>sen(62°)</v>
      </c>
      <c r="H21" s="1395"/>
      <c r="I21" s="1396"/>
      <c r="J21" s="2028" t="s">
        <v>289</v>
      </c>
      <c r="K21" s="2055" t="s">
        <v>290</v>
      </c>
      <c r="L21" s="2057">
        <f>E21</f>
        <v>88</v>
      </c>
      <c r="M21" s="2057"/>
      <c r="N21" s="2058" t="s">
        <v>3</v>
      </c>
      <c r="O21" s="1407">
        <f>L21</f>
        <v>88</v>
      </c>
      <c r="P21" s="2060" t="s">
        <v>3</v>
      </c>
      <c r="Q21" s="2062" t="str">
        <f>CONCATENATE(ROUND(O21/O22,1),F12)</f>
        <v>99,7cm</v>
      </c>
    </row>
    <row r="22" spans="2:19" ht="18.600000000000001" thickBot="1" x14ac:dyDescent="0.4">
      <c r="C22" s="1397" t="s">
        <v>284</v>
      </c>
      <c r="D22" s="2027"/>
      <c r="E22" s="1408" t="str">
        <f>C22</f>
        <v>c</v>
      </c>
      <c r="F22" s="2027"/>
      <c r="G22" s="2034">
        <v>1</v>
      </c>
      <c r="H22" s="2034"/>
      <c r="I22" s="1400"/>
      <c r="J22" s="2029"/>
      <c r="K22" s="2056"/>
      <c r="L22" s="2064" t="str">
        <f>G21</f>
        <v>sen(62°)</v>
      </c>
      <c r="M22" s="2064"/>
      <c r="N22" s="2059"/>
      <c r="O22" s="1409">
        <f>SIN(D10/180*PI())</f>
        <v>0.88294759285892688</v>
      </c>
      <c r="P22" s="2061"/>
      <c r="Q22" s="2063"/>
    </row>
    <row r="23" spans="2:19" ht="18" x14ac:dyDescent="0.35">
      <c r="C23" s="1406" t="s">
        <v>283</v>
      </c>
      <c r="D23" s="2026" t="s">
        <v>3</v>
      </c>
      <c r="E23" s="1253">
        <f>E16</f>
        <v>88</v>
      </c>
      <c r="F23" s="2026" t="s">
        <v>3</v>
      </c>
      <c r="G23" s="1395" t="str">
        <f>CONCATENATE("tg(",D10,"°)")</f>
        <v>tg(62°)</v>
      </c>
      <c r="H23" s="1395"/>
      <c r="I23" s="1396"/>
      <c r="J23" s="2028" t="s">
        <v>289</v>
      </c>
      <c r="K23" s="2030" t="s">
        <v>290</v>
      </c>
      <c r="L23" s="2068">
        <f>E23</f>
        <v>88</v>
      </c>
      <c r="M23" s="2068"/>
      <c r="N23" s="2032" t="s">
        <v>3</v>
      </c>
      <c r="O23" s="1410">
        <f>L23</f>
        <v>88</v>
      </c>
      <c r="P23" s="2039" t="s">
        <v>3</v>
      </c>
      <c r="Q23" s="2065" t="str">
        <f>CONCATENATE(ROUND(O23/O24,1),F14)</f>
        <v>46,8</v>
      </c>
    </row>
    <row r="24" spans="2:19" ht="18.600000000000001" thickBot="1" x14ac:dyDescent="0.4">
      <c r="C24" s="1411" t="s">
        <v>279</v>
      </c>
      <c r="D24" s="2027"/>
      <c r="E24" s="1398" t="str">
        <f>C24</f>
        <v>b</v>
      </c>
      <c r="F24" s="2027"/>
      <c r="G24" s="2034">
        <v>1</v>
      </c>
      <c r="H24" s="2034"/>
      <c r="I24" s="1400"/>
      <c r="J24" s="2029"/>
      <c r="K24" s="2031"/>
      <c r="L24" s="2067" t="str">
        <f>G23</f>
        <v>tg(62°)</v>
      </c>
      <c r="M24" s="2067"/>
      <c r="N24" s="2033"/>
      <c r="O24" s="1412">
        <f>TAN(D10/180*PI())</f>
        <v>1.8807264653463318</v>
      </c>
      <c r="P24" s="2040"/>
      <c r="Q24" s="2066"/>
    </row>
    <row r="25" spans="2:19" ht="11.25" customHeight="1" x14ac:dyDescent="0.3"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</row>
    <row r="26" spans="2:19" ht="11.25" customHeight="1" x14ac:dyDescent="0.3">
      <c r="B26" s="1402"/>
      <c r="C26" s="864"/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1402"/>
      <c r="S26" s="864"/>
    </row>
    <row r="27" spans="2:19" ht="11.25" customHeight="1" x14ac:dyDescent="0.3">
      <c r="B27" s="1402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64"/>
      <c r="O27" s="864"/>
      <c r="P27" s="864"/>
      <c r="Q27" s="864"/>
      <c r="R27" s="1402"/>
      <c r="S27" s="864"/>
    </row>
    <row r="28" spans="2:19" ht="11.25" customHeight="1" x14ac:dyDescent="0.3">
      <c r="B28" s="1402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  <c r="N28" s="864"/>
      <c r="O28" s="864"/>
      <c r="P28" s="864"/>
      <c r="Q28" s="864"/>
      <c r="R28" s="1402"/>
      <c r="S28" s="864"/>
    </row>
    <row r="29" spans="2:19" ht="11.25" customHeight="1" x14ac:dyDescent="0.3">
      <c r="B29" s="1402"/>
      <c r="C29" s="864"/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64"/>
      <c r="O29" s="864"/>
      <c r="P29" s="864"/>
      <c r="Q29" s="864"/>
      <c r="R29" s="1402"/>
      <c r="S29" s="864"/>
    </row>
    <row r="30" spans="2:19" ht="11.25" customHeight="1" x14ac:dyDescent="0.3">
      <c r="B30" s="1402"/>
      <c r="C30" s="864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1402"/>
      <c r="S30" s="864"/>
    </row>
    <row r="31" spans="2:19" ht="11.25" customHeight="1" x14ac:dyDescent="0.3">
      <c r="B31" s="1402"/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1402"/>
      <c r="S31" s="864"/>
    </row>
    <row r="32" spans="2:19" ht="11.25" customHeight="1" x14ac:dyDescent="0.3">
      <c r="B32" s="1402"/>
      <c r="C32" s="864"/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4"/>
      <c r="P32" s="864"/>
      <c r="Q32" s="864"/>
      <c r="R32" s="1402"/>
      <c r="S32" s="864"/>
    </row>
    <row r="33" spans="2:19" ht="11.25" customHeight="1" x14ac:dyDescent="0.3">
      <c r="B33" s="1402"/>
      <c r="C33" s="864"/>
      <c r="D33" s="864"/>
      <c r="E33" s="864"/>
      <c r="F33" s="864"/>
      <c r="G33" s="864"/>
      <c r="H33" s="864"/>
      <c r="I33" s="864"/>
      <c r="J33" s="864"/>
      <c r="K33" s="864"/>
      <c r="L33" s="864"/>
      <c r="M33" s="864"/>
      <c r="N33" s="864"/>
      <c r="O33" s="864"/>
      <c r="P33" s="864"/>
      <c r="Q33" s="864"/>
      <c r="R33" s="1402"/>
      <c r="S33" s="864"/>
    </row>
    <row r="34" spans="2:19" ht="11.25" customHeight="1" x14ac:dyDescent="0.3">
      <c r="B34" s="1402"/>
      <c r="C34" s="864"/>
      <c r="D34" s="864"/>
      <c r="E34" s="864"/>
      <c r="F34" s="864"/>
      <c r="G34" s="864"/>
      <c r="H34" s="864"/>
      <c r="I34" s="864"/>
      <c r="J34" s="864"/>
      <c r="K34" s="864"/>
      <c r="L34" s="864"/>
      <c r="M34" s="864"/>
      <c r="N34" s="864"/>
      <c r="O34" s="864"/>
      <c r="P34" s="864"/>
      <c r="Q34" s="864"/>
      <c r="R34" s="1402"/>
      <c r="S34" s="864"/>
    </row>
    <row r="35" spans="2:19" ht="11.25" customHeight="1" x14ac:dyDescent="0.3">
      <c r="B35" s="1402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1402"/>
      <c r="S35" s="864"/>
    </row>
    <row r="36" spans="2:19" ht="11.25" customHeight="1" x14ac:dyDescent="0.3">
      <c r="B36" s="1402"/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1402"/>
      <c r="S36" s="864"/>
    </row>
    <row r="37" spans="2:19" ht="11.25" customHeight="1" x14ac:dyDescent="0.3">
      <c r="B37" s="1402"/>
      <c r="C37" s="864"/>
      <c r="D37" s="864"/>
      <c r="E37" s="864"/>
      <c r="F37" s="864"/>
      <c r="G37" s="864"/>
      <c r="H37" s="864"/>
      <c r="I37" s="864"/>
      <c r="J37" s="864"/>
      <c r="K37" s="864"/>
      <c r="L37" s="864"/>
      <c r="M37" s="864"/>
      <c r="N37" s="864"/>
      <c r="O37" s="864"/>
      <c r="P37" s="864"/>
      <c r="Q37" s="864"/>
      <c r="R37" s="1402"/>
      <c r="S37" s="864"/>
    </row>
    <row r="38" spans="2:19" ht="11.25" customHeight="1" x14ac:dyDescent="0.3">
      <c r="B38" s="1402"/>
      <c r="C38" s="864"/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1402"/>
      <c r="S38" s="864"/>
    </row>
    <row r="39" spans="2:19" ht="11.25" customHeight="1" x14ac:dyDescent="0.3">
      <c r="B39" s="1402"/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1402"/>
      <c r="S39" s="864"/>
    </row>
    <row r="40" spans="2:19" ht="11.25" customHeight="1" x14ac:dyDescent="0.3">
      <c r="B40" s="1402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1402"/>
      <c r="S40" s="864"/>
    </row>
    <row r="41" spans="2:19" ht="11.25" customHeight="1" x14ac:dyDescent="0.3">
      <c r="B41" s="1402"/>
      <c r="C41" s="864"/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1402"/>
      <c r="S41" s="864"/>
    </row>
    <row r="42" spans="2:19" ht="11.25" customHeight="1" x14ac:dyDescent="0.3">
      <c r="B42" s="1402"/>
      <c r="C42" s="864"/>
      <c r="D42" s="864"/>
      <c r="E42" s="864"/>
      <c r="F42" s="864"/>
      <c r="G42" s="864"/>
      <c r="H42" s="864"/>
      <c r="I42" s="864"/>
      <c r="J42" s="864"/>
      <c r="K42" s="864"/>
      <c r="L42" s="864"/>
      <c r="M42" s="864"/>
      <c r="N42" s="864"/>
      <c r="O42" s="864"/>
      <c r="P42" s="864"/>
      <c r="Q42" s="864"/>
      <c r="R42" s="1402"/>
      <c r="S42" s="864"/>
    </row>
    <row r="43" spans="2:19" ht="11.25" customHeight="1" x14ac:dyDescent="0.3">
      <c r="B43" s="1402"/>
      <c r="C43" s="864"/>
      <c r="D43" s="864"/>
      <c r="E43" s="864"/>
      <c r="F43" s="864"/>
      <c r="G43" s="864"/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1402"/>
      <c r="S43" s="864"/>
    </row>
    <row r="44" spans="2:19" ht="11.25" customHeight="1" x14ac:dyDescent="0.3">
      <c r="B44" s="1402"/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1402"/>
      <c r="S44" s="864"/>
    </row>
    <row r="45" spans="2:19" ht="11.25" customHeight="1" x14ac:dyDescent="0.3">
      <c r="B45" s="1402"/>
      <c r="C45" s="864"/>
      <c r="D45" s="864"/>
      <c r="E45" s="864"/>
      <c r="F45" s="864"/>
      <c r="G45" s="864"/>
      <c r="H45" s="864"/>
      <c r="I45" s="864"/>
      <c r="J45" s="864"/>
      <c r="K45" s="864"/>
      <c r="L45" s="864"/>
      <c r="M45" s="864"/>
      <c r="N45" s="864"/>
      <c r="O45" s="864"/>
      <c r="P45" s="864"/>
      <c r="Q45" s="864"/>
      <c r="R45" s="1402"/>
      <c r="S45" s="864"/>
    </row>
    <row r="46" spans="2:19" ht="11.25" customHeight="1" x14ac:dyDescent="0.3">
      <c r="B46" s="1402"/>
      <c r="C46" s="864"/>
      <c r="D46" s="86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1402"/>
      <c r="S46" s="864"/>
    </row>
    <row r="47" spans="2:19" ht="11.25" customHeight="1" x14ac:dyDescent="0.3">
      <c r="B47" s="1402"/>
      <c r="C47" s="864"/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4"/>
      <c r="P47" s="864"/>
      <c r="Q47" s="864"/>
      <c r="R47" s="1402"/>
      <c r="S47" s="864"/>
    </row>
    <row r="48" spans="2:19" ht="11.25" customHeight="1" x14ac:dyDescent="0.3">
      <c r="B48" s="1402"/>
      <c r="C48" s="864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864"/>
      <c r="Q48" s="864"/>
      <c r="R48" s="1402"/>
      <c r="S48" s="864"/>
    </row>
    <row r="49" spans="2:19" ht="11.25" customHeight="1" x14ac:dyDescent="0.3">
      <c r="B49" s="1402"/>
      <c r="C49" s="864"/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1402"/>
      <c r="S49" s="864"/>
    </row>
    <row r="50" spans="2:19" ht="11.25" customHeight="1" x14ac:dyDescent="0.3">
      <c r="B50" s="1402"/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1402"/>
      <c r="S50" s="864"/>
    </row>
    <row r="51" spans="2:19" ht="11.25" customHeight="1" x14ac:dyDescent="0.3">
      <c r="B51" s="1402"/>
      <c r="C51" s="864"/>
      <c r="D51" s="864"/>
      <c r="E51" s="864"/>
      <c r="F51" s="864"/>
      <c r="G51" s="864"/>
      <c r="H51" s="864"/>
      <c r="I51" s="864"/>
      <c r="J51" s="864"/>
      <c r="K51" s="864"/>
      <c r="L51" s="864"/>
      <c r="M51" s="864"/>
      <c r="N51" s="864"/>
      <c r="O51" s="864"/>
      <c r="P51" s="864"/>
      <c r="Q51" s="864"/>
      <c r="R51" s="1402"/>
      <c r="S51" s="864"/>
    </row>
    <row r="52" spans="2:19" ht="11.25" customHeight="1" x14ac:dyDescent="0.3">
      <c r="B52" s="1402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864"/>
      <c r="O52" s="864"/>
      <c r="P52" s="864"/>
      <c r="Q52" s="864"/>
      <c r="R52" s="1402"/>
      <c r="S52" s="864"/>
    </row>
    <row r="53" spans="2:19" ht="11.25" customHeight="1" x14ac:dyDescent="0.3">
      <c r="B53" s="1402"/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1402"/>
      <c r="S53" s="864"/>
    </row>
    <row r="54" spans="2:19" ht="11.25" customHeight="1" x14ac:dyDescent="0.3">
      <c r="B54" s="1402"/>
      <c r="C54" s="864"/>
      <c r="D54" s="864"/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4"/>
      <c r="R54" s="1402"/>
      <c r="S54" s="864"/>
    </row>
    <row r="55" spans="2:19" ht="11.25" customHeight="1" x14ac:dyDescent="0.3">
      <c r="B55" s="1402"/>
      <c r="C55" s="864"/>
      <c r="D55" s="864"/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1402"/>
      <c r="S55" s="864"/>
    </row>
    <row r="56" spans="2:19" ht="11.25" customHeight="1" x14ac:dyDescent="0.3">
      <c r="B56" s="1402"/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1402"/>
      <c r="S56" s="864"/>
    </row>
    <row r="57" spans="2:19" ht="11.25" customHeight="1" x14ac:dyDescent="0.3">
      <c r="B57" s="1402"/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1402"/>
      <c r="S57" s="864"/>
    </row>
    <row r="58" spans="2:19" ht="11.25" customHeight="1" x14ac:dyDescent="0.3">
      <c r="B58" s="1402"/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1402"/>
      <c r="S58" s="864"/>
    </row>
    <row r="59" spans="2:19" ht="11.25" customHeight="1" x14ac:dyDescent="0.3">
      <c r="B59" s="1402"/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1402"/>
      <c r="S59" s="864"/>
    </row>
    <row r="60" spans="2:19" ht="11.25" customHeight="1" x14ac:dyDescent="0.3">
      <c r="B60" s="1402"/>
      <c r="C60" s="864"/>
      <c r="D60" s="864"/>
      <c r="E60" s="864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1402"/>
      <c r="S60" s="864"/>
    </row>
    <row r="61" spans="2:19" ht="11.25" customHeight="1" x14ac:dyDescent="0.3">
      <c r="B61" s="1402"/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1402"/>
      <c r="S61" s="864"/>
    </row>
    <row r="62" spans="2:19" ht="11.25" customHeight="1" x14ac:dyDescent="0.3">
      <c r="B62" s="1402"/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1402"/>
      <c r="S62" s="864"/>
    </row>
    <row r="63" spans="2:19" ht="11.25" customHeight="1" x14ac:dyDescent="0.3">
      <c r="B63" s="1402"/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1402"/>
      <c r="S63" s="864"/>
    </row>
    <row r="64" spans="2:19" ht="11.25" customHeight="1" x14ac:dyDescent="0.3">
      <c r="B64" s="1402"/>
      <c r="C64" s="864"/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1402"/>
      <c r="S64" s="864"/>
    </row>
    <row r="65" spans="2:19" ht="11.25" customHeight="1" x14ac:dyDescent="0.3">
      <c r="B65" s="1402"/>
      <c r="C65" s="864"/>
      <c r="D65" s="864"/>
      <c r="E65" s="864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1402"/>
      <c r="S65" s="864"/>
    </row>
    <row r="66" spans="2:19" ht="11.25" customHeight="1" x14ac:dyDescent="0.3">
      <c r="B66" s="1402"/>
      <c r="C66" s="864"/>
      <c r="D66" s="864"/>
      <c r="E66" s="864"/>
      <c r="F66" s="864"/>
      <c r="G66" s="864"/>
      <c r="H66" s="864"/>
      <c r="I66" s="864"/>
      <c r="J66" s="864"/>
      <c r="K66" s="864"/>
      <c r="L66" s="864"/>
      <c r="M66" s="864"/>
      <c r="N66" s="864"/>
      <c r="O66" s="864"/>
      <c r="P66" s="864"/>
      <c r="Q66" s="864"/>
      <c r="R66" s="1402"/>
      <c r="S66" s="864"/>
    </row>
    <row r="67" spans="2:19" ht="11.25" customHeight="1" x14ac:dyDescent="0.3">
      <c r="B67" s="1402"/>
      <c r="C67" s="864"/>
      <c r="D67" s="864"/>
      <c r="E67" s="864"/>
      <c r="F67" s="864"/>
      <c r="G67" s="864"/>
      <c r="H67" s="864"/>
      <c r="I67" s="864"/>
      <c r="J67" s="864"/>
      <c r="K67" s="864"/>
      <c r="L67" s="864"/>
      <c r="M67" s="864"/>
      <c r="N67" s="864"/>
      <c r="O67" s="864"/>
      <c r="P67" s="864"/>
      <c r="Q67" s="864"/>
      <c r="R67" s="1402"/>
      <c r="S67" s="864"/>
    </row>
    <row r="68" spans="2:19" ht="11.25" customHeight="1" x14ac:dyDescent="0.3">
      <c r="B68" s="1402"/>
      <c r="C68" s="864"/>
      <c r="D68" s="864"/>
      <c r="E68" s="864"/>
      <c r="F68" s="864"/>
      <c r="G68" s="864"/>
      <c r="H68" s="864"/>
      <c r="I68" s="864"/>
      <c r="J68" s="864"/>
      <c r="K68" s="864"/>
      <c r="L68" s="864"/>
      <c r="M68" s="864"/>
      <c r="N68" s="864"/>
      <c r="O68" s="864"/>
      <c r="P68" s="864"/>
      <c r="Q68" s="864"/>
      <c r="R68" s="1402"/>
      <c r="S68" s="864"/>
    </row>
    <row r="69" spans="2:19" ht="11.25" customHeight="1" x14ac:dyDescent="0.3">
      <c r="B69" s="1402"/>
      <c r="C69" s="864"/>
      <c r="D69" s="864"/>
      <c r="E69" s="864"/>
      <c r="F69" s="864"/>
      <c r="G69" s="864"/>
      <c r="H69" s="864"/>
      <c r="I69" s="864"/>
      <c r="J69" s="864"/>
      <c r="K69" s="864"/>
      <c r="L69" s="864"/>
      <c r="M69" s="864"/>
      <c r="N69" s="864"/>
      <c r="O69" s="864"/>
      <c r="P69" s="864"/>
      <c r="Q69" s="864"/>
      <c r="R69" s="1402"/>
      <c r="S69" s="864"/>
    </row>
    <row r="70" spans="2:19" ht="11.25" customHeight="1" x14ac:dyDescent="0.3">
      <c r="B70" s="1402"/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1402"/>
      <c r="S70" s="864"/>
    </row>
    <row r="71" spans="2:19" ht="11.25" customHeight="1" x14ac:dyDescent="0.3">
      <c r="B71" s="1402"/>
      <c r="C71" s="864"/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1402"/>
      <c r="S71" s="864"/>
    </row>
    <row r="72" spans="2:19" ht="11.25" customHeight="1" x14ac:dyDescent="0.3">
      <c r="B72" s="1402"/>
      <c r="C72" s="864"/>
      <c r="D72" s="864"/>
      <c r="E72" s="864"/>
      <c r="F72" s="864"/>
      <c r="G72" s="864"/>
      <c r="H72" s="864"/>
      <c r="I72" s="864"/>
      <c r="J72" s="864"/>
      <c r="K72" s="864"/>
      <c r="L72" s="864"/>
      <c r="M72" s="864"/>
      <c r="N72" s="864"/>
      <c r="O72" s="864"/>
      <c r="P72" s="864"/>
      <c r="Q72" s="864"/>
      <c r="R72" s="1402"/>
      <c r="S72" s="864"/>
    </row>
    <row r="73" spans="2:19" ht="11.25" customHeight="1" x14ac:dyDescent="0.3">
      <c r="B73" s="1402"/>
      <c r="C73" s="864"/>
      <c r="D73" s="864"/>
      <c r="E73" s="864"/>
      <c r="F73" s="864"/>
      <c r="G73" s="864"/>
      <c r="H73" s="864"/>
      <c r="I73" s="864"/>
      <c r="J73" s="864"/>
      <c r="K73" s="864"/>
      <c r="L73" s="864"/>
      <c r="M73" s="864"/>
      <c r="N73" s="864"/>
      <c r="O73" s="864"/>
      <c r="P73" s="864"/>
      <c r="Q73" s="864"/>
      <c r="R73" s="1402"/>
      <c r="S73" s="864"/>
    </row>
    <row r="74" spans="2:19" ht="11.25" customHeight="1" x14ac:dyDescent="0.3">
      <c r="B74" s="1402"/>
      <c r="C74" s="864"/>
      <c r="D74" s="864"/>
      <c r="E74" s="864"/>
      <c r="F74" s="864"/>
      <c r="G74" s="864"/>
      <c r="H74" s="864"/>
      <c r="I74" s="864"/>
      <c r="J74" s="864"/>
      <c r="K74" s="864"/>
      <c r="L74" s="864"/>
      <c r="M74" s="864"/>
      <c r="N74" s="864"/>
      <c r="O74" s="864"/>
      <c r="P74" s="864"/>
      <c r="Q74" s="864"/>
      <c r="R74" s="1402"/>
      <c r="S74" s="864"/>
    </row>
    <row r="75" spans="2:19" ht="11.25" customHeight="1" x14ac:dyDescent="0.3">
      <c r="B75" s="1402"/>
      <c r="C75" s="864"/>
      <c r="D75" s="864"/>
      <c r="E75" s="864"/>
      <c r="F75" s="864"/>
      <c r="G75" s="864"/>
      <c r="H75" s="864"/>
      <c r="I75" s="864"/>
      <c r="J75" s="864"/>
      <c r="K75" s="864"/>
      <c r="L75" s="864"/>
      <c r="M75" s="864"/>
      <c r="N75" s="864"/>
      <c r="O75" s="864"/>
      <c r="P75" s="864"/>
      <c r="Q75" s="864"/>
      <c r="R75" s="1402"/>
      <c r="S75" s="864"/>
    </row>
    <row r="76" spans="2:19" ht="11.25" customHeight="1" x14ac:dyDescent="0.3">
      <c r="B76" s="1402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1402"/>
      <c r="S76" s="864"/>
    </row>
    <row r="77" spans="2:19" ht="11.25" customHeight="1" x14ac:dyDescent="0.3">
      <c r="B77" s="1402"/>
      <c r="C77" s="864"/>
      <c r="D77" s="864"/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1402"/>
      <c r="S77" s="864"/>
    </row>
    <row r="78" spans="2:19" ht="11.25" customHeight="1" x14ac:dyDescent="0.3">
      <c r="B78" s="1402"/>
      <c r="C78" s="864"/>
      <c r="D78" s="864"/>
      <c r="E78" s="864"/>
      <c r="F78" s="864"/>
      <c r="G78" s="864"/>
      <c r="H78" s="864"/>
      <c r="I78" s="864"/>
      <c r="J78" s="864"/>
      <c r="K78" s="864"/>
      <c r="L78" s="864"/>
      <c r="M78" s="864"/>
      <c r="N78" s="864"/>
      <c r="O78" s="864"/>
      <c r="P78" s="864"/>
      <c r="Q78" s="864"/>
      <c r="R78" s="1402"/>
      <c r="S78" s="864"/>
    </row>
    <row r="79" spans="2:19" ht="11.25" customHeight="1" x14ac:dyDescent="0.3">
      <c r="B79" s="1402"/>
      <c r="C79" s="864"/>
      <c r="D79" s="864"/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1402"/>
      <c r="S79" s="864"/>
    </row>
    <row r="80" spans="2:19" ht="11.25" customHeight="1" x14ac:dyDescent="0.3">
      <c r="B80" s="1402"/>
      <c r="C80" s="864"/>
      <c r="D80" s="864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1402"/>
      <c r="S80" s="864"/>
    </row>
    <row r="81" spans="2:19" ht="11.25" customHeight="1" x14ac:dyDescent="0.3">
      <c r="B81" s="1402"/>
      <c r="C81" s="864"/>
      <c r="D81" s="864"/>
      <c r="E81" s="864"/>
      <c r="F81" s="864"/>
      <c r="G81" s="864"/>
      <c r="H81" s="864"/>
      <c r="I81" s="864"/>
      <c r="J81" s="864"/>
      <c r="K81" s="864"/>
      <c r="L81" s="864"/>
      <c r="M81" s="864"/>
      <c r="N81" s="864"/>
      <c r="O81" s="864"/>
      <c r="P81" s="864"/>
      <c r="Q81" s="864"/>
      <c r="R81" s="1402"/>
      <c r="S81" s="864"/>
    </row>
    <row r="82" spans="2:19" ht="11.25" customHeight="1" x14ac:dyDescent="0.3">
      <c r="B82" s="1402"/>
      <c r="C82" s="864"/>
      <c r="D82" s="864"/>
      <c r="E82" s="864"/>
      <c r="F82" s="864"/>
      <c r="G82" s="864"/>
      <c r="H82" s="864"/>
      <c r="I82" s="864"/>
      <c r="J82" s="864"/>
      <c r="K82" s="864"/>
      <c r="L82" s="864"/>
      <c r="M82" s="864"/>
      <c r="N82" s="864"/>
      <c r="O82" s="864"/>
      <c r="P82" s="864"/>
      <c r="Q82" s="864"/>
      <c r="R82" s="1402"/>
      <c r="S82" s="864"/>
    </row>
    <row r="83" spans="2:19" ht="11.25" customHeight="1" x14ac:dyDescent="0.3">
      <c r="B83" s="1402"/>
      <c r="C83" s="864"/>
      <c r="D83" s="864"/>
      <c r="E83" s="864"/>
      <c r="F83" s="864"/>
      <c r="G83" s="864"/>
      <c r="H83" s="864"/>
      <c r="I83" s="864"/>
      <c r="J83" s="864"/>
      <c r="K83" s="864"/>
      <c r="L83" s="864"/>
      <c r="M83" s="864"/>
      <c r="N83" s="864"/>
      <c r="O83" s="864"/>
      <c r="P83" s="864"/>
      <c r="Q83" s="864"/>
      <c r="R83" s="1402"/>
      <c r="S83" s="864"/>
    </row>
    <row r="84" spans="2:19" ht="11.25" customHeight="1" x14ac:dyDescent="0.3">
      <c r="B84" s="1402"/>
      <c r="C84" s="864"/>
      <c r="D84" s="864"/>
      <c r="E84" s="864"/>
      <c r="F84" s="864"/>
      <c r="G84" s="864"/>
      <c r="H84" s="864"/>
      <c r="I84" s="864"/>
      <c r="J84" s="864"/>
      <c r="K84" s="864"/>
      <c r="L84" s="864"/>
      <c r="M84" s="864"/>
      <c r="N84" s="864"/>
      <c r="O84" s="864"/>
      <c r="P84" s="864"/>
      <c r="Q84" s="864"/>
      <c r="R84" s="1402"/>
      <c r="S84" s="864"/>
    </row>
    <row r="85" spans="2:19" ht="11.25" customHeight="1" x14ac:dyDescent="0.3">
      <c r="B85" s="1402"/>
      <c r="C85" s="864"/>
      <c r="D85" s="864"/>
      <c r="E85" s="864"/>
      <c r="F85" s="864"/>
      <c r="G85" s="864"/>
      <c r="H85" s="864"/>
      <c r="I85" s="864"/>
      <c r="J85" s="864"/>
      <c r="K85" s="864"/>
      <c r="L85" s="864"/>
      <c r="M85" s="864"/>
      <c r="N85" s="864"/>
      <c r="O85" s="864"/>
      <c r="P85" s="864"/>
      <c r="Q85" s="864"/>
      <c r="R85" s="1402"/>
      <c r="S85" s="864"/>
    </row>
    <row r="86" spans="2:19" ht="11.25" customHeight="1" x14ac:dyDescent="0.3">
      <c r="B86" s="1402"/>
      <c r="C86" s="864"/>
      <c r="D86" s="864"/>
      <c r="E86" s="864"/>
      <c r="F86" s="864"/>
      <c r="G86" s="864"/>
      <c r="H86" s="864"/>
      <c r="I86" s="864"/>
      <c r="J86" s="864"/>
      <c r="K86" s="864"/>
      <c r="L86" s="864"/>
      <c r="M86" s="864"/>
      <c r="N86" s="864"/>
      <c r="O86" s="864"/>
      <c r="P86" s="864"/>
      <c r="Q86" s="864"/>
      <c r="R86" s="1402"/>
      <c r="S86" s="864"/>
    </row>
    <row r="87" spans="2:19" ht="11.25" customHeight="1" x14ac:dyDescent="0.3">
      <c r="B87" s="1402"/>
      <c r="C87" s="864"/>
      <c r="D87" s="864"/>
      <c r="E87" s="864"/>
      <c r="F87" s="864"/>
      <c r="G87" s="864"/>
      <c r="H87" s="864"/>
      <c r="I87" s="864"/>
      <c r="J87" s="864"/>
      <c r="K87" s="864"/>
      <c r="L87" s="864"/>
      <c r="M87" s="864"/>
      <c r="N87" s="864"/>
      <c r="O87" s="864"/>
      <c r="P87" s="864"/>
      <c r="Q87" s="864"/>
      <c r="R87" s="1402"/>
      <c r="S87" s="864"/>
    </row>
    <row r="88" spans="2:19" ht="11.25" customHeight="1" x14ac:dyDescent="0.3">
      <c r="B88" s="1402"/>
      <c r="C88" s="864"/>
      <c r="D88" s="864"/>
      <c r="E88" s="864"/>
      <c r="F88" s="864"/>
      <c r="G88" s="864"/>
      <c r="H88" s="864"/>
      <c r="I88" s="864"/>
      <c r="J88" s="864"/>
      <c r="K88" s="864"/>
      <c r="L88" s="864"/>
      <c r="M88" s="864"/>
      <c r="N88" s="864"/>
      <c r="O88" s="864"/>
      <c r="P88" s="864"/>
      <c r="Q88" s="864"/>
      <c r="R88" s="1402"/>
      <c r="S88" s="864"/>
    </row>
    <row r="89" spans="2:19" ht="11.25" customHeight="1" x14ac:dyDescent="0.3">
      <c r="B89" s="1402"/>
      <c r="C89" s="864"/>
      <c r="D89" s="864"/>
      <c r="E89" s="864"/>
      <c r="F89" s="864"/>
      <c r="G89" s="864"/>
      <c r="H89" s="864"/>
      <c r="I89" s="864"/>
      <c r="J89" s="864"/>
      <c r="K89" s="864"/>
      <c r="L89" s="864"/>
      <c r="M89" s="864"/>
      <c r="N89" s="864"/>
      <c r="O89" s="864"/>
      <c r="P89" s="864"/>
      <c r="Q89" s="864"/>
      <c r="R89" s="1402"/>
      <c r="S89" s="864"/>
    </row>
    <row r="90" spans="2:19" ht="11.25" customHeight="1" x14ac:dyDescent="0.3">
      <c r="B90" s="1402"/>
      <c r="C90" s="864"/>
      <c r="D90" s="864"/>
      <c r="E90" s="864"/>
      <c r="F90" s="864"/>
      <c r="G90" s="864"/>
      <c r="H90" s="864"/>
      <c r="I90" s="864"/>
      <c r="J90" s="864"/>
      <c r="K90" s="864"/>
      <c r="L90" s="864"/>
      <c r="M90" s="864"/>
      <c r="N90" s="864"/>
      <c r="O90" s="864"/>
      <c r="P90" s="864"/>
      <c r="Q90" s="864"/>
      <c r="R90" s="1402"/>
      <c r="S90" s="864"/>
    </row>
    <row r="91" spans="2:19" ht="11.25" customHeight="1" x14ac:dyDescent="0.3">
      <c r="B91" s="1402"/>
      <c r="C91" s="864"/>
      <c r="D91" s="864"/>
      <c r="E91" s="864"/>
      <c r="F91" s="864"/>
      <c r="G91" s="864"/>
      <c r="H91" s="864"/>
      <c r="I91" s="864"/>
      <c r="J91" s="864"/>
      <c r="K91" s="864"/>
      <c r="L91" s="864"/>
      <c r="M91" s="864"/>
      <c r="N91" s="864"/>
      <c r="O91" s="864"/>
      <c r="P91" s="864"/>
      <c r="Q91" s="864"/>
      <c r="R91" s="1402"/>
      <c r="S91" s="864"/>
    </row>
    <row r="92" spans="2:19" ht="11.25" customHeight="1" x14ac:dyDescent="0.3">
      <c r="B92" s="1402"/>
      <c r="C92" s="864"/>
      <c r="D92" s="864"/>
      <c r="E92" s="864"/>
      <c r="F92" s="864"/>
      <c r="G92" s="864"/>
      <c r="H92" s="864"/>
      <c r="I92" s="864"/>
      <c r="J92" s="864"/>
      <c r="K92" s="864"/>
      <c r="L92" s="864"/>
      <c r="M92" s="864"/>
      <c r="N92" s="864"/>
      <c r="O92" s="864"/>
      <c r="P92" s="864"/>
      <c r="Q92" s="864"/>
      <c r="R92" s="1402"/>
      <c r="S92" s="864"/>
    </row>
    <row r="93" spans="2:19" ht="11.25" customHeight="1" x14ac:dyDescent="0.3">
      <c r="B93" s="1402"/>
      <c r="C93" s="864"/>
      <c r="D93" s="864"/>
      <c r="E93" s="864"/>
      <c r="F93" s="864"/>
      <c r="G93" s="864"/>
      <c r="H93" s="864"/>
      <c r="I93" s="864"/>
      <c r="J93" s="864"/>
      <c r="K93" s="864"/>
      <c r="L93" s="864"/>
      <c r="M93" s="864"/>
      <c r="N93" s="864"/>
      <c r="O93" s="864"/>
      <c r="P93" s="864"/>
      <c r="Q93" s="864"/>
      <c r="R93" s="1402"/>
      <c r="S93" s="864"/>
    </row>
    <row r="94" spans="2:19" ht="11.25" customHeight="1" x14ac:dyDescent="0.3">
      <c r="B94" s="1402"/>
      <c r="C94" s="864"/>
      <c r="D94" s="864"/>
      <c r="E94" s="864"/>
      <c r="F94" s="864"/>
      <c r="G94" s="864"/>
      <c r="H94" s="864"/>
      <c r="I94" s="864"/>
      <c r="J94" s="864"/>
      <c r="K94" s="864"/>
      <c r="L94" s="864"/>
      <c r="M94" s="864"/>
      <c r="N94" s="864"/>
      <c r="O94" s="864"/>
      <c r="P94" s="864"/>
      <c r="Q94" s="864"/>
      <c r="R94" s="1402"/>
      <c r="S94" s="864"/>
    </row>
    <row r="95" spans="2:19" ht="11.25" customHeight="1" x14ac:dyDescent="0.3">
      <c r="B95" s="1402"/>
      <c r="C95" s="864"/>
      <c r="D95" s="864"/>
      <c r="E95" s="864"/>
      <c r="F95" s="864"/>
      <c r="G95" s="864"/>
      <c r="H95" s="864"/>
      <c r="I95" s="864"/>
      <c r="J95" s="864"/>
      <c r="K95" s="864"/>
      <c r="L95" s="864"/>
      <c r="M95" s="864"/>
      <c r="N95" s="864"/>
      <c r="O95" s="864"/>
      <c r="P95" s="864"/>
      <c r="Q95" s="864"/>
      <c r="R95" s="1402"/>
      <c r="S95" s="864"/>
    </row>
    <row r="96" spans="2:19" ht="11.25" customHeight="1" x14ac:dyDescent="0.3">
      <c r="B96" s="1402"/>
      <c r="C96" s="864"/>
      <c r="D96" s="864"/>
      <c r="E96" s="864"/>
      <c r="F96" s="864"/>
      <c r="G96" s="864"/>
      <c r="H96" s="864"/>
      <c r="I96" s="864"/>
      <c r="J96" s="864"/>
      <c r="K96" s="864"/>
      <c r="L96" s="864"/>
      <c r="M96" s="864"/>
      <c r="N96" s="864"/>
      <c r="O96" s="864"/>
      <c r="P96" s="864"/>
      <c r="Q96" s="864"/>
      <c r="R96" s="1402"/>
      <c r="S96" s="864"/>
    </row>
    <row r="97" spans="2:19" ht="11.25" customHeight="1" x14ac:dyDescent="0.3">
      <c r="B97" s="1402"/>
      <c r="C97" s="864"/>
      <c r="D97" s="864"/>
      <c r="E97" s="864"/>
      <c r="F97" s="864"/>
      <c r="G97" s="864"/>
      <c r="H97" s="864"/>
      <c r="I97" s="864"/>
      <c r="J97" s="864"/>
      <c r="K97" s="864"/>
      <c r="L97" s="864"/>
      <c r="M97" s="864"/>
      <c r="N97" s="864"/>
      <c r="O97" s="864"/>
      <c r="P97" s="864"/>
      <c r="Q97" s="864"/>
      <c r="R97" s="1402"/>
      <c r="S97" s="864"/>
    </row>
    <row r="98" spans="2:19" ht="11.25" customHeight="1" x14ac:dyDescent="0.3">
      <c r="B98" s="1402"/>
      <c r="C98" s="864"/>
      <c r="D98" s="864"/>
      <c r="E98" s="864"/>
      <c r="F98" s="864"/>
      <c r="G98" s="864"/>
      <c r="H98" s="864"/>
      <c r="I98" s="864"/>
      <c r="J98" s="864"/>
      <c r="K98" s="864"/>
      <c r="L98" s="864"/>
      <c r="M98" s="864"/>
      <c r="N98" s="864"/>
      <c r="O98" s="864"/>
      <c r="P98" s="864"/>
      <c r="Q98" s="864"/>
      <c r="R98" s="1402"/>
      <c r="S98" s="864"/>
    </row>
    <row r="99" spans="2:19" ht="11.25" customHeight="1" x14ac:dyDescent="0.3">
      <c r="B99" s="1402"/>
      <c r="C99" s="864"/>
      <c r="D99" s="864"/>
      <c r="E99" s="864"/>
      <c r="F99" s="864"/>
      <c r="G99" s="864"/>
      <c r="H99" s="864"/>
      <c r="I99" s="864"/>
      <c r="J99" s="864"/>
      <c r="K99" s="864"/>
      <c r="L99" s="864"/>
      <c r="M99" s="864"/>
      <c r="N99" s="864"/>
      <c r="O99" s="864"/>
      <c r="P99" s="864"/>
      <c r="Q99" s="864"/>
      <c r="R99" s="1402"/>
      <c r="S99" s="864"/>
    </row>
    <row r="100" spans="2:19" ht="11.25" customHeight="1" x14ac:dyDescent="0.3">
      <c r="B100" s="1402"/>
      <c r="C100" s="864"/>
      <c r="D100" s="864"/>
      <c r="E100" s="864"/>
      <c r="F100" s="864"/>
      <c r="G100" s="864"/>
      <c r="H100" s="864"/>
      <c r="I100" s="864"/>
      <c r="J100" s="864"/>
      <c r="K100" s="864"/>
      <c r="L100" s="864"/>
      <c r="M100" s="864"/>
      <c r="N100" s="864"/>
      <c r="O100" s="864"/>
      <c r="P100" s="864"/>
      <c r="Q100" s="864"/>
      <c r="R100" s="1402"/>
      <c r="S100" s="864"/>
    </row>
    <row r="101" spans="2:19" ht="11.25" customHeight="1" x14ac:dyDescent="0.3">
      <c r="B101" s="1402"/>
      <c r="C101" s="864"/>
      <c r="D101" s="864"/>
      <c r="E101" s="864"/>
      <c r="F101" s="864"/>
      <c r="G101" s="864"/>
      <c r="H101" s="864"/>
      <c r="I101" s="864"/>
      <c r="J101" s="864"/>
      <c r="K101" s="864"/>
      <c r="L101" s="864"/>
      <c r="M101" s="864"/>
      <c r="N101" s="864"/>
      <c r="O101" s="864"/>
      <c r="P101" s="864"/>
      <c r="Q101" s="864"/>
      <c r="R101" s="1402"/>
      <c r="S101" s="864"/>
    </row>
    <row r="102" spans="2:19" ht="11.25" customHeight="1" x14ac:dyDescent="0.3">
      <c r="B102" s="1402"/>
      <c r="C102" s="864"/>
      <c r="D102" s="864"/>
      <c r="E102" s="864"/>
      <c r="F102" s="864"/>
      <c r="G102" s="864"/>
      <c r="H102" s="864"/>
      <c r="I102" s="864"/>
      <c r="J102" s="864"/>
      <c r="K102" s="864"/>
      <c r="L102" s="864"/>
      <c r="M102" s="864"/>
      <c r="N102" s="864"/>
      <c r="O102" s="864"/>
      <c r="P102" s="864"/>
      <c r="Q102" s="864"/>
      <c r="R102" s="1402"/>
      <c r="S102" s="864"/>
    </row>
    <row r="103" spans="2:19" ht="11.25" customHeight="1" x14ac:dyDescent="0.3">
      <c r="B103" s="1402"/>
      <c r="C103" s="864"/>
      <c r="D103" s="864"/>
      <c r="E103" s="864"/>
      <c r="F103" s="864"/>
      <c r="G103" s="864"/>
      <c r="H103" s="864"/>
      <c r="I103" s="864"/>
      <c r="J103" s="864"/>
      <c r="K103" s="864"/>
      <c r="L103" s="864"/>
      <c r="M103" s="864"/>
      <c r="N103" s="864"/>
      <c r="O103" s="864"/>
      <c r="P103" s="864"/>
      <c r="Q103" s="864"/>
      <c r="R103" s="1402"/>
      <c r="S103" s="864"/>
    </row>
    <row r="104" spans="2:19" ht="11.25" customHeight="1" x14ac:dyDescent="0.3">
      <c r="B104" s="1402"/>
      <c r="C104" s="864"/>
      <c r="D104" s="864"/>
      <c r="E104" s="864"/>
      <c r="F104" s="864"/>
      <c r="G104" s="864"/>
      <c r="H104" s="864"/>
      <c r="I104" s="864"/>
      <c r="J104" s="864"/>
      <c r="K104" s="864"/>
      <c r="L104" s="864"/>
      <c r="M104" s="864"/>
      <c r="N104" s="864"/>
      <c r="O104" s="864"/>
      <c r="P104" s="864"/>
      <c r="Q104" s="864"/>
      <c r="R104" s="1402"/>
      <c r="S104" s="864"/>
    </row>
    <row r="105" spans="2:19" ht="11.25" customHeight="1" x14ac:dyDescent="0.3">
      <c r="B105" s="1402"/>
      <c r="C105" s="864"/>
      <c r="D105" s="864"/>
      <c r="E105" s="864"/>
      <c r="F105" s="864"/>
      <c r="G105" s="864"/>
      <c r="H105" s="864"/>
      <c r="I105" s="864"/>
      <c r="J105" s="864"/>
      <c r="K105" s="864"/>
      <c r="L105" s="864"/>
      <c r="M105" s="864"/>
      <c r="N105" s="864"/>
      <c r="O105" s="864"/>
      <c r="P105" s="864"/>
      <c r="Q105" s="864"/>
      <c r="R105" s="1402"/>
      <c r="S105" s="864"/>
    </row>
    <row r="106" spans="2:19" ht="11.25" customHeight="1" x14ac:dyDescent="0.3">
      <c r="B106" s="1402"/>
      <c r="C106" s="864"/>
      <c r="D106" s="864"/>
      <c r="E106" s="864"/>
      <c r="F106" s="864"/>
      <c r="G106" s="864"/>
      <c r="H106" s="864"/>
      <c r="I106" s="864"/>
      <c r="J106" s="864"/>
      <c r="K106" s="864"/>
      <c r="L106" s="864"/>
      <c r="M106" s="864"/>
      <c r="N106" s="864"/>
      <c r="O106" s="864"/>
      <c r="P106" s="864"/>
      <c r="Q106" s="864"/>
      <c r="R106" s="1402"/>
      <c r="S106" s="864"/>
    </row>
    <row r="107" spans="2:19" ht="11.25" customHeight="1" x14ac:dyDescent="0.3">
      <c r="B107" s="1402"/>
      <c r="C107" s="864"/>
      <c r="D107" s="864"/>
      <c r="E107" s="864"/>
      <c r="F107" s="864"/>
      <c r="G107" s="864"/>
      <c r="H107" s="864"/>
      <c r="I107" s="864"/>
      <c r="J107" s="864"/>
      <c r="K107" s="864"/>
      <c r="L107" s="864"/>
      <c r="M107" s="864"/>
      <c r="N107" s="864"/>
      <c r="O107" s="864"/>
      <c r="P107" s="864"/>
      <c r="Q107" s="864"/>
      <c r="R107" s="1402"/>
      <c r="S107" s="864"/>
    </row>
    <row r="108" spans="2:19" ht="11.25" customHeight="1" x14ac:dyDescent="0.3">
      <c r="B108" s="1402"/>
      <c r="C108" s="864"/>
      <c r="D108" s="864"/>
      <c r="E108" s="864"/>
      <c r="F108" s="864"/>
      <c r="G108" s="864"/>
      <c r="H108" s="864"/>
      <c r="I108" s="864"/>
      <c r="J108" s="864"/>
      <c r="K108" s="864"/>
      <c r="L108" s="864"/>
      <c r="M108" s="864"/>
      <c r="N108" s="864"/>
      <c r="O108" s="864"/>
      <c r="P108" s="864"/>
      <c r="Q108" s="864"/>
      <c r="R108" s="1402"/>
      <c r="S108" s="864"/>
    </row>
    <row r="109" spans="2:19" ht="11.25" customHeight="1" x14ac:dyDescent="0.3">
      <c r="B109" s="1402"/>
      <c r="C109" s="864"/>
      <c r="D109" s="864"/>
      <c r="E109" s="864"/>
      <c r="F109" s="864"/>
      <c r="G109" s="864"/>
      <c r="H109" s="864"/>
      <c r="I109" s="864"/>
      <c r="J109" s="864"/>
      <c r="K109" s="864"/>
      <c r="L109" s="864"/>
      <c r="M109" s="864"/>
      <c r="N109" s="864"/>
      <c r="O109" s="864"/>
      <c r="P109" s="864"/>
      <c r="Q109" s="864"/>
      <c r="R109" s="1402"/>
      <c r="S109" s="864"/>
    </row>
    <row r="110" spans="2:19" ht="11.25" customHeight="1" x14ac:dyDescent="0.3">
      <c r="B110" s="1402"/>
      <c r="C110" s="864"/>
      <c r="D110" s="864"/>
      <c r="E110" s="864"/>
      <c r="F110" s="864"/>
      <c r="G110" s="864"/>
      <c r="H110" s="864"/>
      <c r="I110" s="864"/>
      <c r="J110" s="864"/>
      <c r="K110" s="864"/>
      <c r="L110" s="864"/>
      <c r="M110" s="864"/>
      <c r="N110" s="864"/>
      <c r="O110" s="864"/>
      <c r="P110" s="864"/>
      <c r="Q110" s="864"/>
      <c r="R110" s="1402"/>
      <c r="S110" s="864"/>
    </row>
    <row r="111" spans="2:19" ht="11.25" customHeight="1" x14ac:dyDescent="0.3">
      <c r="B111" s="1402"/>
      <c r="C111" s="864"/>
      <c r="D111" s="864"/>
      <c r="E111" s="864"/>
      <c r="F111" s="864"/>
      <c r="G111" s="864"/>
      <c r="H111" s="864"/>
      <c r="I111" s="864"/>
      <c r="J111" s="864"/>
      <c r="K111" s="864"/>
      <c r="L111" s="864"/>
      <c r="M111" s="864"/>
      <c r="N111" s="864"/>
      <c r="O111" s="864"/>
      <c r="P111" s="864"/>
      <c r="Q111" s="864"/>
      <c r="R111" s="1402"/>
      <c r="S111" s="864"/>
    </row>
    <row r="112" spans="2:19" ht="11.25" customHeight="1" x14ac:dyDescent="0.3">
      <c r="B112" s="1402"/>
      <c r="C112" s="864"/>
      <c r="D112" s="864"/>
      <c r="E112" s="864"/>
      <c r="F112" s="864"/>
      <c r="G112" s="864"/>
      <c r="H112" s="864"/>
      <c r="I112" s="864"/>
      <c r="J112" s="864"/>
      <c r="K112" s="864"/>
      <c r="L112" s="864"/>
      <c r="M112" s="864"/>
      <c r="N112" s="864"/>
      <c r="O112" s="864"/>
      <c r="P112" s="864"/>
      <c r="Q112" s="864"/>
      <c r="R112" s="1402"/>
      <c r="S112" s="864"/>
    </row>
    <row r="113" spans="2:19" ht="11.25" customHeight="1" x14ac:dyDescent="0.3">
      <c r="B113" s="1402"/>
      <c r="C113" s="864"/>
      <c r="D113" s="864"/>
      <c r="E113" s="864"/>
      <c r="F113" s="864"/>
      <c r="G113" s="864"/>
      <c r="H113" s="864"/>
      <c r="I113" s="864"/>
      <c r="J113" s="864"/>
      <c r="K113" s="864"/>
      <c r="L113" s="864"/>
      <c r="M113" s="864"/>
      <c r="N113" s="864"/>
      <c r="O113" s="864"/>
      <c r="P113" s="864"/>
      <c r="Q113" s="864"/>
      <c r="R113" s="1402"/>
      <c r="S113" s="864"/>
    </row>
    <row r="114" spans="2:19" ht="11.25" customHeight="1" x14ac:dyDescent="0.3">
      <c r="B114" s="1402"/>
      <c r="C114" s="864"/>
      <c r="D114" s="864"/>
      <c r="E114" s="864"/>
      <c r="F114" s="864"/>
      <c r="G114" s="864"/>
      <c r="H114" s="864"/>
      <c r="I114" s="864"/>
      <c r="J114" s="864"/>
      <c r="K114" s="864"/>
      <c r="L114" s="864"/>
      <c r="M114" s="864"/>
      <c r="N114" s="864"/>
      <c r="O114" s="864"/>
      <c r="P114" s="864"/>
      <c r="Q114" s="864"/>
      <c r="R114" s="1402"/>
      <c r="S114" s="864"/>
    </row>
    <row r="115" spans="2:19" ht="11.25" customHeight="1" x14ac:dyDescent="0.3">
      <c r="B115" s="1402"/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1402"/>
      <c r="S115" s="864"/>
    </row>
    <row r="116" spans="2:19" ht="11.25" customHeight="1" x14ac:dyDescent="0.3">
      <c r="B116" s="1402"/>
      <c r="C116" s="864"/>
      <c r="D116" s="864"/>
      <c r="E116" s="864"/>
      <c r="F116" s="864"/>
      <c r="G116" s="864"/>
      <c r="H116" s="864"/>
      <c r="I116" s="864"/>
      <c r="J116" s="864"/>
      <c r="K116" s="864"/>
      <c r="L116" s="864"/>
      <c r="M116" s="864"/>
      <c r="N116" s="864"/>
      <c r="O116" s="864"/>
      <c r="P116" s="864"/>
      <c r="Q116" s="864"/>
      <c r="R116" s="1402"/>
      <c r="S116" s="864"/>
    </row>
    <row r="117" spans="2:19" ht="11.25" customHeight="1" x14ac:dyDescent="0.3">
      <c r="B117" s="1402"/>
      <c r="C117" s="864"/>
      <c r="D117" s="864"/>
      <c r="E117" s="864"/>
      <c r="F117" s="864"/>
      <c r="G117" s="864"/>
      <c r="H117" s="864"/>
      <c r="I117" s="864"/>
      <c r="J117" s="864"/>
      <c r="K117" s="864"/>
      <c r="L117" s="864"/>
      <c r="M117" s="864"/>
      <c r="N117" s="864"/>
      <c r="O117" s="864"/>
      <c r="P117" s="864"/>
      <c r="Q117" s="864"/>
      <c r="R117" s="1402"/>
      <c r="S117" s="864"/>
    </row>
    <row r="118" spans="2:19" ht="11.25" customHeight="1" x14ac:dyDescent="0.3">
      <c r="B118" s="1402"/>
      <c r="C118" s="864"/>
      <c r="D118" s="864"/>
      <c r="E118" s="864"/>
      <c r="F118" s="864"/>
      <c r="G118" s="864"/>
      <c r="H118" s="864"/>
      <c r="I118" s="864"/>
      <c r="J118" s="864"/>
      <c r="K118" s="864"/>
      <c r="L118" s="864"/>
      <c r="M118" s="864"/>
      <c r="N118" s="864"/>
      <c r="O118" s="864"/>
      <c r="P118" s="864"/>
      <c r="Q118" s="864"/>
      <c r="R118" s="1402"/>
      <c r="S118" s="864"/>
    </row>
    <row r="119" spans="2:19" ht="11.25" customHeight="1" x14ac:dyDescent="0.3">
      <c r="B119" s="1402"/>
      <c r="C119" s="864"/>
      <c r="D119" s="864"/>
      <c r="E119" s="864"/>
      <c r="F119" s="864"/>
      <c r="G119" s="864"/>
      <c r="H119" s="864"/>
      <c r="I119" s="864"/>
      <c r="J119" s="864"/>
      <c r="K119" s="864"/>
      <c r="L119" s="864"/>
      <c r="M119" s="864"/>
      <c r="N119" s="864"/>
      <c r="O119" s="864"/>
      <c r="P119" s="864"/>
      <c r="Q119" s="864"/>
      <c r="R119" s="1402"/>
      <c r="S119" s="864"/>
    </row>
    <row r="120" spans="2:19" ht="11.25" customHeight="1" x14ac:dyDescent="0.3">
      <c r="B120" s="1402"/>
      <c r="C120" s="864"/>
      <c r="D120" s="864"/>
      <c r="E120" s="864"/>
      <c r="F120" s="864"/>
      <c r="G120" s="864"/>
      <c r="H120" s="864"/>
      <c r="I120" s="864"/>
      <c r="J120" s="864"/>
      <c r="K120" s="864"/>
      <c r="L120" s="864"/>
      <c r="M120" s="864"/>
      <c r="N120" s="864"/>
      <c r="O120" s="864"/>
      <c r="P120" s="864"/>
      <c r="Q120" s="864"/>
      <c r="R120" s="1402"/>
      <c r="S120" s="864"/>
    </row>
    <row r="121" spans="2:19" ht="11.25" customHeight="1" x14ac:dyDescent="0.3">
      <c r="B121" s="1402"/>
      <c r="C121" s="864"/>
      <c r="D121" s="864"/>
      <c r="E121" s="864"/>
      <c r="F121" s="864"/>
      <c r="G121" s="864"/>
      <c r="H121" s="864"/>
      <c r="I121" s="864"/>
      <c r="J121" s="864"/>
      <c r="K121" s="864"/>
      <c r="L121" s="864"/>
      <c r="M121" s="864"/>
      <c r="N121" s="864"/>
      <c r="O121" s="864"/>
      <c r="P121" s="864"/>
      <c r="Q121" s="864"/>
      <c r="R121" s="1402"/>
      <c r="S121" s="864"/>
    </row>
    <row r="122" spans="2:19" ht="11.25" customHeight="1" x14ac:dyDescent="0.3">
      <c r="B122" s="1402"/>
      <c r="C122" s="864"/>
      <c r="D122" s="864"/>
      <c r="E122" s="864"/>
      <c r="F122" s="864"/>
      <c r="G122" s="864"/>
      <c r="H122" s="864"/>
      <c r="I122" s="864"/>
      <c r="J122" s="864"/>
      <c r="K122" s="864"/>
      <c r="L122" s="864"/>
      <c r="M122" s="864"/>
      <c r="N122" s="864"/>
      <c r="O122" s="864"/>
      <c r="P122" s="864"/>
      <c r="Q122" s="864"/>
      <c r="R122" s="1402"/>
      <c r="S122" s="864"/>
    </row>
    <row r="123" spans="2:19" ht="11.25" customHeight="1" x14ac:dyDescent="0.3">
      <c r="B123" s="1402"/>
      <c r="C123" s="864"/>
      <c r="D123" s="864"/>
      <c r="E123" s="864"/>
      <c r="F123" s="864"/>
      <c r="G123" s="864"/>
      <c r="H123" s="864"/>
      <c r="I123" s="864"/>
      <c r="J123" s="864"/>
      <c r="K123" s="864"/>
      <c r="L123" s="864"/>
      <c r="M123" s="864"/>
      <c r="N123" s="864"/>
      <c r="O123" s="864"/>
      <c r="P123" s="864"/>
      <c r="Q123" s="864"/>
      <c r="R123" s="1402"/>
      <c r="S123" s="864"/>
    </row>
    <row r="124" spans="2:19" ht="11.25" customHeight="1" x14ac:dyDescent="0.3">
      <c r="B124" s="1402"/>
      <c r="C124" s="864"/>
      <c r="D124" s="864"/>
      <c r="E124" s="864"/>
      <c r="F124" s="864"/>
      <c r="G124" s="864"/>
      <c r="H124" s="864"/>
      <c r="I124" s="864"/>
      <c r="J124" s="864"/>
      <c r="K124" s="864"/>
      <c r="L124" s="864"/>
      <c r="M124" s="864"/>
      <c r="N124" s="864"/>
      <c r="O124" s="864"/>
      <c r="P124" s="864"/>
      <c r="Q124" s="864"/>
      <c r="R124" s="1402"/>
      <c r="S124" s="864"/>
    </row>
    <row r="125" spans="2:19" ht="11.25" customHeight="1" x14ac:dyDescent="0.3">
      <c r="B125" s="1402"/>
      <c r="C125" s="864"/>
      <c r="D125" s="864"/>
      <c r="E125" s="864"/>
      <c r="F125" s="864"/>
      <c r="G125" s="864"/>
      <c r="H125" s="864"/>
      <c r="I125" s="864"/>
      <c r="J125" s="864"/>
      <c r="K125" s="864"/>
      <c r="L125" s="864"/>
      <c r="M125" s="864"/>
      <c r="N125" s="864"/>
      <c r="O125" s="864"/>
      <c r="P125" s="864"/>
      <c r="Q125" s="864"/>
      <c r="R125" s="1402"/>
      <c r="S125" s="864"/>
    </row>
    <row r="126" spans="2:19" ht="11.25" customHeight="1" x14ac:dyDescent="0.3">
      <c r="B126" s="1402"/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1402"/>
      <c r="S126" s="864"/>
    </row>
    <row r="127" spans="2:19" ht="11.25" customHeight="1" x14ac:dyDescent="0.3">
      <c r="B127" s="1402"/>
      <c r="C127" s="864"/>
      <c r="D127" s="864"/>
      <c r="E127" s="864"/>
      <c r="F127" s="864"/>
      <c r="G127" s="864"/>
      <c r="H127" s="864"/>
      <c r="I127" s="864"/>
      <c r="J127" s="864"/>
      <c r="K127" s="864"/>
      <c r="L127" s="864"/>
      <c r="M127" s="864"/>
      <c r="N127" s="864"/>
      <c r="O127" s="864"/>
      <c r="P127" s="864"/>
      <c r="Q127" s="864"/>
      <c r="R127" s="1402"/>
      <c r="S127" s="864"/>
    </row>
    <row r="128" spans="2:19" ht="11.25" customHeight="1" x14ac:dyDescent="0.3">
      <c r="B128" s="1402"/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1402"/>
      <c r="S128" s="864"/>
    </row>
    <row r="129" spans="2:19" ht="11.25" customHeight="1" x14ac:dyDescent="0.3">
      <c r="B129" s="1402"/>
      <c r="C129" s="864"/>
      <c r="D129" s="864"/>
      <c r="E129" s="864"/>
      <c r="F129" s="864"/>
      <c r="G129" s="864"/>
      <c r="H129" s="864"/>
      <c r="I129" s="864"/>
      <c r="J129" s="864"/>
      <c r="K129" s="864"/>
      <c r="L129" s="864"/>
      <c r="M129" s="864"/>
      <c r="N129" s="864"/>
      <c r="O129" s="864"/>
      <c r="P129" s="864"/>
      <c r="Q129" s="864"/>
      <c r="R129" s="1402"/>
      <c r="S129" s="864"/>
    </row>
    <row r="130" spans="2:19" ht="11.25" customHeight="1" x14ac:dyDescent="0.3">
      <c r="B130" s="1402"/>
      <c r="C130" s="864"/>
      <c r="D130" s="864"/>
      <c r="E130" s="864"/>
      <c r="F130" s="864"/>
      <c r="G130" s="864"/>
      <c r="H130" s="864"/>
      <c r="I130" s="864"/>
      <c r="J130" s="864"/>
      <c r="K130" s="864"/>
      <c r="L130" s="864"/>
      <c r="M130" s="864"/>
      <c r="N130" s="864"/>
      <c r="O130" s="864"/>
      <c r="P130" s="864"/>
      <c r="Q130" s="864"/>
      <c r="R130" s="1402"/>
      <c r="S130" s="864"/>
    </row>
    <row r="131" spans="2:19" ht="11.25" customHeight="1" x14ac:dyDescent="0.3">
      <c r="B131" s="1402"/>
      <c r="C131" s="864"/>
      <c r="D131" s="864"/>
      <c r="E131" s="864"/>
      <c r="F131" s="864"/>
      <c r="G131" s="864"/>
      <c r="H131" s="864"/>
      <c r="I131" s="864"/>
      <c r="J131" s="864"/>
      <c r="K131" s="864"/>
      <c r="L131" s="864"/>
      <c r="M131" s="864"/>
      <c r="N131" s="864"/>
      <c r="O131" s="864"/>
      <c r="P131" s="864"/>
      <c r="Q131" s="864"/>
      <c r="R131" s="1402"/>
      <c r="S131" s="864"/>
    </row>
    <row r="132" spans="2:19" ht="11.25" customHeight="1" x14ac:dyDescent="0.3">
      <c r="B132" s="1402"/>
      <c r="C132" s="864"/>
      <c r="D132" s="864"/>
      <c r="E132" s="864"/>
      <c r="F132" s="864"/>
      <c r="G132" s="864"/>
      <c r="H132" s="864"/>
      <c r="I132" s="864"/>
      <c r="J132" s="864"/>
      <c r="K132" s="864"/>
      <c r="L132" s="864"/>
      <c r="M132" s="864"/>
      <c r="N132" s="864"/>
      <c r="O132" s="864"/>
      <c r="P132" s="864"/>
      <c r="Q132" s="864"/>
      <c r="R132" s="1402"/>
      <c r="S132" s="864"/>
    </row>
    <row r="133" spans="2:19" ht="11.25" customHeight="1" x14ac:dyDescent="0.3">
      <c r="B133" s="1402"/>
      <c r="C133" s="864"/>
      <c r="D133" s="864"/>
      <c r="E133" s="864"/>
      <c r="F133" s="864"/>
      <c r="G133" s="864"/>
      <c r="H133" s="864"/>
      <c r="I133" s="864"/>
      <c r="J133" s="864"/>
      <c r="K133" s="864"/>
      <c r="L133" s="864"/>
      <c r="M133" s="864"/>
      <c r="N133" s="864"/>
      <c r="O133" s="864"/>
      <c r="P133" s="864"/>
      <c r="Q133" s="864"/>
      <c r="R133" s="1402"/>
      <c r="S133" s="864"/>
    </row>
    <row r="134" spans="2:19" ht="11.25" customHeight="1" x14ac:dyDescent="0.3">
      <c r="B134" s="1402"/>
      <c r="C134" s="864"/>
      <c r="D134" s="864"/>
      <c r="E134" s="864"/>
      <c r="F134" s="864"/>
      <c r="G134" s="864"/>
      <c r="H134" s="864"/>
      <c r="I134" s="864"/>
      <c r="J134" s="864"/>
      <c r="K134" s="864"/>
      <c r="L134" s="864"/>
      <c r="M134" s="864"/>
      <c r="N134" s="864"/>
      <c r="O134" s="864"/>
      <c r="P134" s="864"/>
      <c r="Q134" s="864"/>
      <c r="R134" s="1402"/>
      <c r="S134" s="864"/>
    </row>
    <row r="135" spans="2:19" ht="11.25" customHeight="1" x14ac:dyDescent="0.3">
      <c r="B135" s="1402"/>
      <c r="C135" s="864"/>
      <c r="D135" s="864"/>
      <c r="E135" s="864"/>
      <c r="F135" s="864"/>
      <c r="G135" s="864"/>
      <c r="H135" s="864"/>
      <c r="I135" s="864"/>
      <c r="J135" s="864"/>
      <c r="K135" s="864"/>
      <c r="L135" s="864"/>
      <c r="M135" s="864"/>
      <c r="N135" s="864"/>
      <c r="O135" s="864"/>
      <c r="P135" s="864"/>
      <c r="Q135" s="864"/>
      <c r="R135" s="1402"/>
      <c r="S135" s="864"/>
    </row>
    <row r="136" spans="2:19" ht="11.25" customHeight="1" x14ac:dyDescent="0.3">
      <c r="B136" s="1402"/>
      <c r="C136" s="864"/>
      <c r="D136" s="864"/>
      <c r="E136" s="864"/>
      <c r="F136" s="864"/>
      <c r="G136" s="864"/>
      <c r="H136" s="864"/>
      <c r="I136" s="864"/>
      <c r="J136" s="864"/>
      <c r="K136" s="864"/>
      <c r="L136" s="864"/>
      <c r="M136" s="864"/>
      <c r="N136" s="864"/>
      <c r="O136" s="864"/>
      <c r="P136" s="864"/>
      <c r="Q136" s="864"/>
      <c r="R136" s="1402"/>
      <c r="S136" s="864"/>
    </row>
    <row r="137" spans="2:19" ht="11.25" customHeight="1" x14ac:dyDescent="0.3">
      <c r="B137" s="1402"/>
      <c r="C137" s="864"/>
      <c r="D137" s="864"/>
      <c r="E137" s="864"/>
      <c r="F137" s="864"/>
      <c r="G137" s="864"/>
      <c r="H137" s="864"/>
      <c r="I137" s="864"/>
      <c r="J137" s="864"/>
      <c r="K137" s="864"/>
      <c r="L137" s="864"/>
      <c r="M137" s="864"/>
      <c r="N137" s="864"/>
      <c r="O137" s="864"/>
      <c r="P137" s="864"/>
      <c r="Q137" s="864"/>
      <c r="R137" s="1402"/>
      <c r="S137" s="864"/>
    </row>
    <row r="138" spans="2:19" ht="11.25" customHeight="1" x14ac:dyDescent="0.3">
      <c r="B138" s="1402"/>
      <c r="C138" s="864"/>
      <c r="D138" s="864"/>
      <c r="E138" s="864"/>
      <c r="F138" s="864"/>
      <c r="G138" s="864"/>
      <c r="H138" s="864"/>
      <c r="I138" s="864"/>
      <c r="J138" s="864"/>
      <c r="K138" s="864"/>
      <c r="L138" s="864"/>
      <c r="M138" s="864"/>
      <c r="N138" s="864"/>
      <c r="O138" s="864"/>
      <c r="P138" s="864"/>
      <c r="Q138" s="864"/>
      <c r="R138" s="1402"/>
      <c r="S138" s="864"/>
    </row>
    <row r="139" spans="2:19" ht="11.25" customHeight="1" x14ac:dyDescent="0.3">
      <c r="B139" s="1402"/>
      <c r="C139" s="864"/>
      <c r="D139" s="864"/>
      <c r="E139" s="864"/>
      <c r="F139" s="864"/>
      <c r="G139" s="864"/>
      <c r="H139" s="864"/>
      <c r="I139" s="864"/>
      <c r="J139" s="864"/>
      <c r="K139" s="864"/>
      <c r="L139" s="864"/>
      <c r="M139" s="864"/>
      <c r="N139" s="864"/>
      <c r="O139" s="864"/>
      <c r="P139" s="864"/>
      <c r="Q139" s="864"/>
      <c r="R139" s="1402"/>
      <c r="S139" s="864"/>
    </row>
    <row r="140" spans="2:19" ht="11.25" customHeight="1" x14ac:dyDescent="0.3">
      <c r="B140" s="1402"/>
      <c r="C140" s="864"/>
      <c r="D140" s="864"/>
      <c r="E140" s="864"/>
      <c r="F140" s="864"/>
      <c r="G140" s="864"/>
      <c r="H140" s="864"/>
      <c r="I140" s="864"/>
      <c r="J140" s="864"/>
      <c r="K140" s="864"/>
      <c r="L140" s="864"/>
      <c r="M140" s="864"/>
      <c r="N140" s="864"/>
      <c r="O140" s="864"/>
      <c r="P140" s="864"/>
      <c r="Q140" s="864"/>
      <c r="R140" s="1402"/>
      <c r="S140" s="864"/>
    </row>
    <row r="141" spans="2:19" ht="11.25" customHeight="1" x14ac:dyDescent="0.3">
      <c r="B141" s="1402"/>
      <c r="C141" s="864"/>
      <c r="D141" s="864"/>
      <c r="E141" s="864"/>
      <c r="F141" s="864"/>
      <c r="G141" s="864"/>
      <c r="H141" s="864"/>
      <c r="I141" s="864"/>
      <c r="J141" s="864"/>
      <c r="K141" s="864"/>
      <c r="L141" s="864"/>
      <c r="M141" s="864"/>
      <c r="N141" s="864"/>
      <c r="O141" s="864"/>
      <c r="P141" s="864"/>
      <c r="Q141" s="864"/>
      <c r="R141" s="1402"/>
      <c r="S141" s="864"/>
    </row>
    <row r="142" spans="2:19" ht="11.25" customHeight="1" x14ac:dyDescent="0.3">
      <c r="B142" s="1402"/>
      <c r="C142" s="864"/>
      <c r="D142" s="864"/>
      <c r="E142" s="864"/>
      <c r="F142" s="864"/>
      <c r="G142" s="864"/>
      <c r="H142" s="864"/>
      <c r="I142" s="864"/>
      <c r="J142" s="864"/>
      <c r="K142" s="864"/>
      <c r="L142" s="864"/>
      <c r="M142" s="864"/>
      <c r="N142" s="864"/>
      <c r="O142" s="864"/>
      <c r="P142" s="864"/>
      <c r="Q142" s="864"/>
      <c r="R142" s="1402"/>
      <c r="S142" s="864"/>
    </row>
    <row r="143" spans="2:19" ht="11.25" customHeight="1" x14ac:dyDescent="0.3">
      <c r="B143" s="1402"/>
      <c r="C143" s="864"/>
      <c r="D143" s="864"/>
      <c r="E143" s="864"/>
      <c r="F143" s="864"/>
      <c r="G143" s="864"/>
      <c r="H143" s="864"/>
      <c r="I143" s="864"/>
      <c r="J143" s="864"/>
      <c r="K143" s="864"/>
      <c r="L143" s="864"/>
      <c r="M143" s="864"/>
      <c r="N143" s="864"/>
      <c r="O143" s="864"/>
      <c r="P143" s="864"/>
      <c r="Q143" s="864"/>
      <c r="R143" s="1402"/>
      <c r="S143" s="864"/>
    </row>
    <row r="144" spans="2:19" ht="11.25" customHeight="1" x14ac:dyDescent="0.3">
      <c r="B144" s="1402"/>
      <c r="C144" s="864"/>
      <c r="D144" s="864"/>
      <c r="E144" s="864"/>
      <c r="F144" s="864"/>
      <c r="G144" s="864"/>
      <c r="H144" s="864"/>
      <c r="I144" s="864"/>
      <c r="J144" s="864"/>
      <c r="K144" s="864"/>
      <c r="L144" s="864"/>
      <c r="M144" s="864"/>
      <c r="N144" s="864"/>
      <c r="O144" s="864"/>
      <c r="P144" s="864"/>
      <c r="Q144" s="864"/>
      <c r="R144" s="1402"/>
      <c r="S144" s="864"/>
    </row>
    <row r="145" spans="2:19" ht="11.25" customHeight="1" x14ac:dyDescent="0.3">
      <c r="B145" s="1402"/>
      <c r="C145" s="864"/>
      <c r="D145" s="864"/>
      <c r="E145" s="864"/>
      <c r="F145" s="864"/>
      <c r="G145" s="864"/>
      <c r="H145" s="864"/>
      <c r="I145" s="864"/>
      <c r="J145" s="864"/>
      <c r="K145" s="864"/>
      <c r="L145" s="864"/>
      <c r="M145" s="864"/>
      <c r="N145" s="864"/>
      <c r="O145" s="864"/>
      <c r="P145" s="864"/>
      <c r="Q145" s="864"/>
      <c r="R145" s="1402"/>
      <c r="S145" s="864"/>
    </row>
    <row r="146" spans="2:19" ht="11.25" customHeight="1" x14ac:dyDescent="0.3">
      <c r="B146" s="1402"/>
      <c r="C146" s="864"/>
      <c r="D146" s="864"/>
      <c r="E146" s="864"/>
      <c r="F146" s="864"/>
      <c r="G146" s="864"/>
      <c r="H146" s="864"/>
      <c r="I146" s="864"/>
      <c r="J146" s="864"/>
      <c r="K146" s="864"/>
      <c r="L146" s="864"/>
      <c r="M146" s="864"/>
      <c r="N146" s="864"/>
      <c r="O146" s="864"/>
      <c r="P146" s="864"/>
      <c r="Q146" s="864"/>
      <c r="R146" s="1402"/>
      <c r="S146" s="864"/>
    </row>
    <row r="147" spans="2:19" ht="11.25" customHeight="1" x14ac:dyDescent="0.3">
      <c r="B147" s="1402"/>
      <c r="C147" s="864"/>
      <c r="D147" s="864"/>
      <c r="E147" s="864"/>
      <c r="F147" s="864"/>
      <c r="G147" s="864"/>
      <c r="H147" s="864"/>
      <c r="I147" s="864"/>
      <c r="J147" s="864"/>
      <c r="K147" s="864"/>
      <c r="L147" s="864"/>
      <c r="M147" s="864"/>
      <c r="N147" s="864"/>
      <c r="O147" s="864"/>
      <c r="P147" s="864"/>
      <c r="Q147" s="864"/>
      <c r="R147" s="1402"/>
      <c r="S147" s="864"/>
    </row>
    <row r="148" spans="2:19" ht="11.25" customHeight="1" x14ac:dyDescent="0.3">
      <c r="B148" s="1402"/>
      <c r="C148" s="864"/>
      <c r="D148" s="864"/>
      <c r="E148" s="864"/>
      <c r="F148" s="864"/>
      <c r="G148" s="864"/>
      <c r="H148" s="864"/>
      <c r="I148" s="864"/>
      <c r="J148" s="864"/>
      <c r="K148" s="864"/>
      <c r="L148" s="864"/>
      <c r="M148" s="864"/>
      <c r="N148" s="864"/>
      <c r="O148" s="864"/>
      <c r="P148" s="864"/>
      <c r="Q148" s="864"/>
      <c r="R148" s="1402"/>
      <c r="S148" s="864"/>
    </row>
    <row r="149" spans="2:19" ht="11.25" customHeight="1" x14ac:dyDescent="0.3">
      <c r="B149" s="1402"/>
      <c r="C149" s="864"/>
      <c r="D149" s="864"/>
      <c r="E149" s="864"/>
      <c r="F149" s="864"/>
      <c r="G149" s="864"/>
      <c r="H149" s="864"/>
      <c r="I149" s="864"/>
      <c r="J149" s="864"/>
      <c r="K149" s="864"/>
      <c r="L149" s="864"/>
      <c r="M149" s="864"/>
      <c r="N149" s="864"/>
      <c r="O149" s="864"/>
      <c r="P149" s="864"/>
      <c r="Q149" s="864"/>
      <c r="R149" s="1402"/>
      <c r="S149" s="864"/>
    </row>
    <row r="150" spans="2:19" ht="11.25" customHeight="1" x14ac:dyDescent="0.3">
      <c r="B150" s="1402"/>
      <c r="C150" s="864"/>
      <c r="D150" s="864"/>
      <c r="E150" s="864"/>
      <c r="F150" s="864"/>
      <c r="G150" s="864"/>
      <c r="H150" s="864"/>
      <c r="I150" s="864"/>
      <c r="J150" s="864"/>
      <c r="K150" s="864"/>
      <c r="L150" s="864"/>
      <c r="M150" s="864"/>
      <c r="N150" s="864"/>
      <c r="O150" s="864"/>
      <c r="P150" s="864"/>
      <c r="Q150" s="864"/>
      <c r="R150" s="1402"/>
      <c r="S150" s="864"/>
    </row>
    <row r="151" spans="2:19" ht="11.25" customHeight="1" x14ac:dyDescent="0.3">
      <c r="B151" s="1402"/>
      <c r="C151" s="864"/>
      <c r="D151" s="864"/>
      <c r="E151" s="864"/>
      <c r="F151" s="864"/>
      <c r="G151" s="864"/>
      <c r="H151" s="864"/>
      <c r="I151" s="864"/>
      <c r="J151" s="864"/>
      <c r="K151" s="864"/>
      <c r="L151" s="864"/>
      <c r="M151" s="864"/>
      <c r="N151" s="864"/>
      <c r="O151" s="864"/>
      <c r="P151" s="864"/>
      <c r="Q151" s="864"/>
      <c r="R151" s="1402"/>
      <c r="S151" s="864"/>
    </row>
    <row r="152" spans="2:19" ht="11.25" customHeight="1" x14ac:dyDescent="0.3">
      <c r="B152" s="1402"/>
      <c r="C152" s="864"/>
      <c r="D152" s="864"/>
      <c r="E152" s="864"/>
      <c r="F152" s="864"/>
      <c r="G152" s="864"/>
      <c r="H152" s="864"/>
      <c r="I152" s="864"/>
      <c r="J152" s="864"/>
      <c r="K152" s="864"/>
      <c r="L152" s="864"/>
      <c r="M152" s="864"/>
      <c r="N152" s="864"/>
      <c r="O152" s="864"/>
      <c r="P152" s="864"/>
      <c r="Q152" s="864"/>
      <c r="R152" s="1402"/>
      <c r="S152" s="864"/>
    </row>
    <row r="153" spans="2:19" ht="11.25" customHeight="1" x14ac:dyDescent="0.3">
      <c r="B153" s="1402"/>
      <c r="C153" s="864"/>
      <c r="D153" s="864"/>
      <c r="E153" s="864"/>
      <c r="F153" s="864"/>
      <c r="G153" s="864"/>
      <c r="H153" s="864"/>
      <c r="I153" s="864"/>
      <c r="J153" s="864"/>
      <c r="K153" s="864"/>
      <c r="L153" s="864"/>
      <c r="M153" s="864"/>
      <c r="N153" s="864"/>
      <c r="O153" s="864"/>
      <c r="P153" s="864"/>
      <c r="Q153" s="864"/>
      <c r="R153" s="1402"/>
      <c r="S153" s="864"/>
    </row>
    <row r="154" spans="2:19" ht="11.25" customHeight="1" x14ac:dyDescent="0.3">
      <c r="B154" s="1402"/>
      <c r="C154" s="864"/>
      <c r="D154" s="864"/>
      <c r="E154" s="864"/>
      <c r="F154" s="864"/>
      <c r="G154" s="864"/>
      <c r="H154" s="864"/>
      <c r="I154" s="864"/>
      <c r="J154" s="864"/>
      <c r="K154" s="864"/>
      <c r="L154" s="864"/>
      <c r="M154" s="864"/>
      <c r="N154" s="864"/>
      <c r="O154" s="864"/>
      <c r="P154" s="864"/>
      <c r="Q154" s="864"/>
      <c r="R154" s="1402"/>
      <c r="S154" s="864"/>
    </row>
    <row r="155" spans="2:19" ht="11.25" customHeight="1" x14ac:dyDescent="0.3">
      <c r="B155" s="1402"/>
      <c r="C155" s="864"/>
      <c r="D155" s="864"/>
      <c r="E155" s="864"/>
      <c r="F155" s="864"/>
      <c r="G155" s="864"/>
      <c r="H155" s="864"/>
      <c r="I155" s="864"/>
      <c r="J155" s="864"/>
      <c r="K155" s="864"/>
      <c r="L155" s="864"/>
      <c r="M155" s="864"/>
      <c r="N155" s="864"/>
      <c r="O155" s="864"/>
      <c r="P155" s="864"/>
      <c r="Q155" s="864"/>
      <c r="R155" s="1402"/>
      <c r="S155" s="864"/>
    </row>
    <row r="156" spans="2:19" ht="11.25" customHeight="1" x14ac:dyDescent="0.3">
      <c r="B156" s="1402"/>
      <c r="C156" s="864"/>
      <c r="D156" s="864"/>
      <c r="E156" s="864"/>
      <c r="F156" s="864"/>
      <c r="G156" s="864"/>
      <c r="H156" s="864"/>
      <c r="I156" s="864"/>
      <c r="J156" s="864"/>
      <c r="K156" s="864"/>
      <c r="L156" s="864"/>
      <c r="M156" s="864"/>
      <c r="N156" s="864"/>
      <c r="O156" s="864"/>
      <c r="P156" s="864"/>
      <c r="Q156" s="864"/>
      <c r="R156" s="1402"/>
      <c r="S156" s="864"/>
    </row>
    <row r="157" spans="2:19" ht="11.25" customHeight="1" x14ac:dyDescent="0.3">
      <c r="B157" s="1402"/>
      <c r="C157" s="864"/>
      <c r="D157" s="864"/>
      <c r="E157" s="864"/>
      <c r="F157" s="864"/>
      <c r="G157" s="864"/>
      <c r="H157" s="864"/>
      <c r="I157" s="864"/>
      <c r="J157" s="864"/>
      <c r="K157" s="864"/>
      <c r="L157" s="864"/>
      <c r="M157" s="864"/>
      <c r="N157" s="864"/>
      <c r="O157" s="864"/>
      <c r="P157" s="864"/>
      <c r="Q157" s="864"/>
      <c r="R157" s="1402"/>
      <c r="S157" s="864"/>
    </row>
    <row r="158" spans="2:19" ht="11.25" customHeight="1" x14ac:dyDescent="0.3">
      <c r="B158" s="1402"/>
      <c r="C158" s="864"/>
      <c r="D158" s="864"/>
      <c r="E158" s="864"/>
      <c r="F158" s="864"/>
      <c r="G158" s="864"/>
      <c r="H158" s="864"/>
      <c r="I158" s="864"/>
      <c r="J158" s="864"/>
      <c r="K158" s="864"/>
      <c r="L158" s="864"/>
      <c r="M158" s="864"/>
      <c r="N158" s="864"/>
      <c r="O158" s="864"/>
      <c r="P158" s="864"/>
      <c r="Q158" s="864"/>
      <c r="R158" s="1402"/>
      <c r="S158" s="864"/>
    </row>
    <row r="159" spans="2:19" ht="11.25" customHeight="1" x14ac:dyDescent="0.3">
      <c r="B159" s="1402"/>
      <c r="C159" s="864"/>
      <c r="D159" s="864"/>
      <c r="E159" s="864"/>
      <c r="F159" s="864"/>
      <c r="G159" s="864"/>
      <c r="H159" s="864"/>
      <c r="I159" s="864"/>
      <c r="J159" s="864"/>
      <c r="K159" s="864"/>
      <c r="L159" s="864"/>
      <c r="M159" s="864"/>
      <c r="N159" s="864"/>
      <c r="O159" s="864"/>
      <c r="P159" s="864"/>
      <c r="Q159" s="864"/>
      <c r="R159" s="1402"/>
      <c r="S159" s="864"/>
    </row>
    <row r="160" spans="2:19" ht="11.25" customHeight="1" x14ac:dyDescent="0.3">
      <c r="B160" s="1402"/>
      <c r="C160" s="864"/>
      <c r="D160" s="864"/>
      <c r="E160" s="864"/>
      <c r="F160" s="864"/>
      <c r="G160" s="864"/>
      <c r="H160" s="864"/>
      <c r="I160" s="864"/>
      <c r="J160" s="864"/>
      <c r="K160" s="864"/>
      <c r="L160" s="864"/>
      <c r="M160" s="864"/>
      <c r="N160" s="864"/>
      <c r="O160" s="864"/>
      <c r="P160" s="864"/>
      <c r="Q160" s="864"/>
      <c r="R160" s="1402"/>
      <c r="S160" s="864"/>
    </row>
    <row r="161" spans="2:19" ht="11.25" customHeight="1" x14ac:dyDescent="0.3">
      <c r="B161" s="1402"/>
      <c r="C161" s="864"/>
      <c r="D161" s="864"/>
      <c r="E161" s="864"/>
      <c r="F161" s="864"/>
      <c r="G161" s="864"/>
      <c r="H161" s="864"/>
      <c r="I161" s="864"/>
      <c r="J161" s="864"/>
      <c r="K161" s="864"/>
      <c r="L161" s="864"/>
      <c r="M161" s="864"/>
      <c r="N161" s="864"/>
      <c r="O161" s="864"/>
      <c r="P161" s="864"/>
      <c r="Q161" s="864"/>
      <c r="R161" s="1402"/>
      <c r="S161" s="864"/>
    </row>
    <row r="162" spans="2:19" ht="11.25" customHeight="1" x14ac:dyDescent="0.3">
      <c r="B162" s="1402"/>
      <c r="C162" s="864"/>
      <c r="D162" s="864"/>
      <c r="E162" s="864"/>
      <c r="F162" s="864"/>
      <c r="G162" s="864"/>
      <c r="H162" s="864"/>
      <c r="I162" s="864"/>
      <c r="J162" s="864"/>
      <c r="K162" s="864"/>
      <c r="L162" s="864"/>
      <c r="M162" s="864"/>
      <c r="N162" s="864"/>
      <c r="O162" s="864"/>
      <c r="P162" s="864"/>
      <c r="Q162" s="864"/>
      <c r="R162" s="1402"/>
      <c r="S162" s="864"/>
    </row>
    <row r="163" spans="2:19" ht="11.25" customHeight="1" x14ac:dyDescent="0.3">
      <c r="B163" s="1402"/>
      <c r="C163" s="864"/>
      <c r="D163" s="864"/>
      <c r="E163" s="864"/>
      <c r="F163" s="864"/>
      <c r="G163" s="864"/>
      <c r="H163" s="864"/>
      <c r="I163" s="864"/>
      <c r="J163" s="864"/>
      <c r="K163" s="864"/>
      <c r="L163" s="864"/>
      <c r="M163" s="864"/>
      <c r="N163" s="864"/>
      <c r="O163" s="864"/>
      <c r="P163" s="864"/>
      <c r="Q163" s="864"/>
      <c r="R163" s="1402"/>
      <c r="S163" s="864"/>
    </row>
    <row r="164" spans="2:19" ht="11.25" customHeight="1" x14ac:dyDescent="0.3">
      <c r="B164" s="1402"/>
      <c r="C164" s="864"/>
      <c r="D164" s="864"/>
      <c r="E164" s="864"/>
      <c r="F164" s="864"/>
      <c r="G164" s="864"/>
      <c r="H164" s="864"/>
      <c r="I164" s="864"/>
      <c r="J164" s="864"/>
      <c r="K164" s="864"/>
      <c r="L164" s="864"/>
      <c r="M164" s="864"/>
      <c r="N164" s="864"/>
      <c r="O164" s="864"/>
      <c r="P164" s="864"/>
      <c r="Q164" s="864"/>
      <c r="R164" s="1402"/>
      <c r="S164" s="864"/>
    </row>
    <row r="165" spans="2:19" ht="11.25" customHeight="1" x14ac:dyDescent="0.3">
      <c r="B165" s="1402"/>
      <c r="C165" s="864"/>
      <c r="D165" s="864"/>
      <c r="E165" s="864"/>
      <c r="F165" s="864"/>
      <c r="G165" s="864"/>
      <c r="H165" s="864"/>
      <c r="I165" s="864"/>
      <c r="J165" s="864"/>
      <c r="K165" s="864"/>
      <c r="L165" s="864"/>
      <c r="M165" s="864"/>
      <c r="N165" s="864"/>
      <c r="O165" s="864"/>
      <c r="P165" s="864"/>
      <c r="Q165" s="864"/>
      <c r="R165" s="1402"/>
      <c r="S165" s="864"/>
    </row>
    <row r="166" spans="2:19" ht="11.25" customHeight="1" x14ac:dyDescent="0.3">
      <c r="B166" s="1402"/>
      <c r="C166" s="864"/>
      <c r="D166" s="864"/>
      <c r="E166" s="864"/>
      <c r="F166" s="864"/>
      <c r="G166" s="864"/>
      <c r="H166" s="864"/>
      <c r="I166" s="864"/>
      <c r="J166" s="864"/>
      <c r="K166" s="864"/>
      <c r="L166" s="864"/>
      <c r="M166" s="864"/>
      <c r="N166" s="864"/>
      <c r="O166" s="864"/>
      <c r="P166" s="864"/>
      <c r="Q166" s="864"/>
      <c r="R166" s="1402"/>
      <c r="S166" s="864"/>
    </row>
    <row r="167" spans="2:19" ht="11.25" customHeight="1" x14ac:dyDescent="0.3">
      <c r="B167" s="1402"/>
      <c r="C167" s="864"/>
      <c r="D167" s="864"/>
      <c r="E167" s="864"/>
      <c r="F167" s="864"/>
      <c r="G167" s="864"/>
      <c r="H167" s="864"/>
      <c r="I167" s="864"/>
      <c r="J167" s="864"/>
      <c r="K167" s="864"/>
      <c r="L167" s="864"/>
      <c r="M167" s="864"/>
      <c r="N167" s="864"/>
      <c r="O167" s="864"/>
      <c r="P167" s="864"/>
      <c r="Q167" s="864"/>
      <c r="R167" s="1402"/>
      <c r="S167" s="864"/>
    </row>
    <row r="168" spans="2:19" ht="11.25" customHeight="1" x14ac:dyDescent="0.3">
      <c r="B168" s="1402"/>
      <c r="C168" s="864"/>
      <c r="D168" s="864"/>
      <c r="E168" s="864"/>
      <c r="F168" s="864"/>
      <c r="G168" s="864"/>
      <c r="H168" s="864"/>
      <c r="I168" s="864"/>
      <c r="J168" s="864"/>
      <c r="K168" s="864"/>
      <c r="L168" s="864"/>
      <c r="M168" s="864"/>
      <c r="N168" s="864"/>
      <c r="O168" s="864"/>
      <c r="P168" s="864"/>
      <c r="Q168" s="864"/>
      <c r="R168" s="1402"/>
      <c r="S168" s="864"/>
    </row>
    <row r="169" spans="2:19" ht="11.25" customHeight="1" x14ac:dyDescent="0.3">
      <c r="B169" s="1402"/>
      <c r="C169" s="864"/>
      <c r="D169" s="864"/>
      <c r="E169" s="864"/>
      <c r="F169" s="864"/>
      <c r="G169" s="864"/>
      <c r="H169" s="864"/>
      <c r="I169" s="864"/>
      <c r="J169" s="864"/>
      <c r="K169" s="864"/>
      <c r="L169" s="864"/>
      <c r="M169" s="864"/>
      <c r="N169" s="864"/>
      <c r="O169" s="864"/>
      <c r="P169" s="864"/>
      <c r="Q169" s="864"/>
      <c r="R169" s="1402"/>
      <c r="S169" s="864"/>
    </row>
    <row r="170" spans="2:19" ht="11.25" customHeight="1" x14ac:dyDescent="0.3">
      <c r="B170" s="1402"/>
      <c r="C170" s="864"/>
      <c r="D170" s="864"/>
      <c r="E170" s="864"/>
      <c r="F170" s="864"/>
      <c r="G170" s="864"/>
      <c r="H170" s="864"/>
      <c r="I170" s="864"/>
      <c r="J170" s="864"/>
      <c r="K170" s="864"/>
      <c r="L170" s="864"/>
      <c r="M170" s="864"/>
      <c r="N170" s="864"/>
      <c r="O170" s="864"/>
      <c r="P170" s="864"/>
      <c r="Q170" s="864"/>
      <c r="R170" s="1402"/>
      <c r="S170" s="864"/>
    </row>
    <row r="171" spans="2:19" ht="11.25" customHeight="1" x14ac:dyDescent="0.3">
      <c r="B171" s="1402"/>
      <c r="C171" s="864"/>
      <c r="D171" s="864"/>
      <c r="E171" s="864"/>
      <c r="F171" s="864"/>
      <c r="G171" s="864"/>
      <c r="H171" s="864"/>
      <c r="I171" s="864"/>
      <c r="J171" s="864"/>
      <c r="K171" s="864"/>
      <c r="L171" s="864"/>
      <c r="M171" s="864"/>
      <c r="N171" s="864"/>
      <c r="O171" s="864"/>
      <c r="P171" s="864"/>
      <c r="Q171" s="864"/>
      <c r="R171" s="1402"/>
      <c r="S171" s="864"/>
    </row>
    <row r="172" spans="2:19" ht="11.25" customHeight="1" x14ac:dyDescent="0.3">
      <c r="B172" s="1402"/>
      <c r="C172" s="864"/>
      <c r="D172" s="864"/>
      <c r="E172" s="864"/>
      <c r="F172" s="864"/>
      <c r="G172" s="864"/>
      <c r="H172" s="864"/>
      <c r="I172" s="864"/>
      <c r="J172" s="864"/>
      <c r="K172" s="864"/>
      <c r="L172" s="864"/>
      <c r="M172" s="864"/>
      <c r="N172" s="864"/>
      <c r="O172" s="864"/>
      <c r="P172" s="864"/>
      <c r="Q172" s="864"/>
      <c r="R172" s="1402"/>
      <c r="S172" s="864"/>
    </row>
    <row r="173" spans="2:19" ht="11.25" customHeight="1" x14ac:dyDescent="0.3">
      <c r="B173" s="1402"/>
      <c r="C173" s="864"/>
      <c r="D173" s="864"/>
      <c r="E173" s="864"/>
      <c r="F173" s="864"/>
      <c r="G173" s="864"/>
      <c r="H173" s="864"/>
      <c r="I173" s="864"/>
      <c r="J173" s="864"/>
      <c r="K173" s="864"/>
      <c r="L173" s="864"/>
      <c r="M173" s="864"/>
      <c r="N173" s="864"/>
      <c r="O173" s="864"/>
      <c r="P173" s="864"/>
      <c r="Q173" s="864"/>
      <c r="R173" s="1402"/>
      <c r="S173" s="864"/>
    </row>
    <row r="174" spans="2:19" ht="11.25" customHeight="1" x14ac:dyDescent="0.3">
      <c r="B174" s="1402"/>
      <c r="C174" s="864"/>
      <c r="D174" s="864"/>
      <c r="E174" s="864"/>
      <c r="F174" s="864"/>
      <c r="G174" s="864"/>
      <c r="H174" s="864"/>
      <c r="I174" s="864"/>
      <c r="J174" s="864"/>
      <c r="K174" s="864"/>
      <c r="L174" s="864"/>
      <c r="M174" s="864"/>
      <c r="N174" s="864"/>
      <c r="O174" s="864"/>
      <c r="P174" s="864"/>
      <c r="Q174" s="864"/>
      <c r="R174" s="1402"/>
      <c r="S174" s="864"/>
    </row>
    <row r="175" spans="2:19" ht="11.25" customHeight="1" x14ac:dyDescent="0.3">
      <c r="B175" s="1402"/>
      <c r="C175" s="864"/>
      <c r="D175" s="864"/>
      <c r="E175" s="864"/>
      <c r="F175" s="864"/>
      <c r="G175" s="864"/>
      <c r="H175" s="864"/>
      <c r="I175" s="864"/>
      <c r="J175" s="864"/>
      <c r="K175" s="864"/>
      <c r="L175" s="864"/>
      <c r="M175" s="864"/>
      <c r="N175" s="864"/>
      <c r="O175" s="864"/>
      <c r="P175" s="864"/>
      <c r="Q175" s="864"/>
      <c r="R175" s="1402"/>
      <c r="S175" s="864"/>
    </row>
    <row r="176" spans="2:19" ht="11.25" customHeight="1" x14ac:dyDescent="0.3">
      <c r="B176" s="1402"/>
      <c r="C176" s="864"/>
      <c r="D176" s="864"/>
      <c r="E176" s="864"/>
      <c r="F176" s="864"/>
      <c r="G176" s="864"/>
      <c r="H176" s="864"/>
      <c r="I176" s="864"/>
      <c r="J176" s="864"/>
      <c r="K176" s="864"/>
      <c r="L176" s="864"/>
      <c r="M176" s="864"/>
      <c r="N176" s="864"/>
      <c r="O176" s="864"/>
      <c r="P176" s="864"/>
      <c r="Q176" s="864"/>
      <c r="R176" s="1402"/>
      <c r="S176" s="864"/>
    </row>
    <row r="177" spans="2:19" ht="11.25" customHeight="1" x14ac:dyDescent="0.3">
      <c r="B177" s="1402"/>
      <c r="C177" s="864"/>
      <c r="D177" s="864"/>
      <c r="E177" s="864"/>
      <c r="F177" s="864"/>
      <c r="G177" s="864"/>
      <c r="H177" s="864"/>
      <c r="I177" s="864"/>
      <c r="J177" s="864"/>
      <c r="K177" s="864"/>
      <c r="L177" s="864"/>
      <c r="M177" s="864"/>
      <c r="N177" s="864"/>
      <c r="O177" s="864"/>
      <c r="P177" s="864"/>
      <c r="Q177" s="864"/>
      <c r="R177" s="1402"/>
      <c r="S177" s="864"/>
    </row>
    <row r="178" spans="2:19" ht="11.25" customHeight="1" x14ac:dyDescent="0.3">
      <c r="B178" s="1402"/>
      <c r="C178" s="864"/>
      <c r="D178" s="864"/>
      <c r="E178" s="864"/>
      <c r="F178" s="864"/>
      <c r="G178" s="864"/>
      <c r="H178" s="864"/>
      <c r="I178" s="864"/>
      <c r="J178" s="864"/>
      <c r="K178" s="864"/>
      <c r="L178" s="864"/>
      <c r="M178" s="864"/>
      <c r="N178" s="864"/>
      <c r="O178" s="864"/>
      <c r="P178" s="864"/>
      <c r="Q178" s="864"/>
      <c r="R178" s="1402"/>
      <c r="S178" s="864"/>
    </row>
    <row r="179" spans="2:19" ht="11.25" customHeight="1" x14ac:dyDescent="0.3">
      <c r="B179" s="1402"/>
      <c r="C179" s="864"/>
      <c r="D179" s="864"/>
      <c r="E179" s="864"/>
      <c r="F179" s="864"/>
      <c r="G179" s="864"/>
      <c r="H179" s="864"/>
      <c r="I179" s="864"/>
      <c r="J179" s="864"/>
      <c r="K179" s="864"/>
      <c r="L179" s="864"/>
      <c r="M179" s="864"/>
      <c r="N179" s="864"/>
      <c r="O179" s="864"/>
      <c r="P179" s="864"/>
      <c r="Q179" s="864"/>
      <c r="R179" s="1402"/>
      <c r="S179" s="864"/>
    </row>
    <row r="180" spans="2:19" ht="11.25" customHeight="1" x14ac:dyDescent="0.3">
      <c r="B180" s="1402"/>
      <c r="C180" s="864"/>
      <c r="D180" s="864"/>
      <c r="E180" s="864"/>
      <c r="F180" s="864"/>
      <c r="G180" s="864"/>
      <c r="H180" s="864"/>
      <c r="I180" s="864"/>
      <c r="J180" s="864"/>
      <c r="K180" s="864"/>
      <c r="L180" s="864"/>
      <c r="M180" s="864"/>
      <c r="N180" s="864"/>
      <c r="O180" s="864"/>
      <c r="P180" s="864"/>
      <c r="Q180" s="864"/>
      <c r="R180" s="1402"/>
      <c r="S180" s="864"/>
    </row>
    <row r="181" spans="2:19" ht="11.25" customHeight="1" x14ac:dyDescent="0.3">
      <c r="B181" s="1402"/>
      <c r="C181" s="864"/>
      <c r="D181" s="864"/>
      <c r="E181" s="864"/>
      <c r="F181" s="864"/>
      <c r="G181" s="864"/>
      <c r="H181" s="864"/>
      <c r="I181" s="864"/>
      <c r="J181" s="864"/>
      <c r="K181" s="864"/>
      <c r="L181" s="864"/>
      <c r="M181" s="864"/>
      <c r="N181" s="864"/>
      <c r="O181" s="864"/>
      <c r="P181" s="864"/>
      <c r="Q181" s="864"/>
      <c r="R181" s="1402"/>
      <c r="S181" s="864"/>
    </row>
  </sheetData>
  <mergeCells count="35">
    <mergeCell ref="P23:P24"/>
    <mergeCell ref="Q23:Q24"/>
    <mergeCell ref="G24:H24"/>
    <mergeCell ref="L24:M24"/>
    <mergeCell ref="D23:D24"/>
    <mergeCell ref="F23:F24"/>
    <mergeCell ref="J23:J24"/>
    <mergeCell ref="K23:K24"/>
    <mergeCell ref="L23:M23"/>
    <mergeCell ref="N23:N24"/>
    <mergeCell ref="L21:M21"/>
    <mergeCell ref="N21:N22"/>
    <mergeCell ref="P21:P22"/>
    <mergeCell ref="Q21:Q22"/>
    <mergeCell ref="G22:H22"/>
    <mergeCell ref="L22:M22"/>
    <mergeCell ref="C19:C20"/>
    <mergeCell ref="I19:K19"/>
    <mergeCell ref="D21:D22"/>
    <mergeCell ref="F21:F22"/>
    <mergeCell ref="J21:J22"/>
    <mergeCell ref="K21:K22"/>
    <mergeCell ref="L15:L16"/>
    <mergeCell ref="M15:O16"/>
    <mergeCell ref="I16:K16"/>
    <mergeCell ref="H18:H19"/>
    <mergeCell ref="I18:K18"/>
    <mergeCell ref="L18:L19"/>
    <mergeCell ref="M18:O19"/>
    <mergeCell ref="I15:K15"/>
    <mergeCell ref="D10:E10"/>
    <mergeCell ref="F11:G11"/>
    <mergeCell ref="D12:E12"/>
    <mergeCell ref="C14:C18"/>
    <mergeCell ref="H15:H1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W23"/>
  <sheetViews>
    <sheetView workbookViewId="0">
      <selection activeCell="U8" sqref="U8"/>
    </sheetView>
  </sheetViews>
  <sheetFormatPr defaultColWidth="8.8984375" defaultRowHeight="21" customHeight="1" x14ac:dyDescent="0.45"/>
  <cols>
    <col min="1" max="1" width="2.69921875" style="783" customWidth="1"/>
    <col min="2" max="2" width="5.5" style="705" customWidth="1"/>
    <col min="3" max="3" width="2.8984375" style="705" customWidth="1"/>
    <col min="4" max="4" width="5.19921875" style="705" customWidth="1"/>
    <col min="5" max="5" width="7" style="705" customWidth="1"/>
    <col min="6" max="6" width="4.8984375" style="705" customWidth="1"/>
    <col min="7" max="7" width="6.09765625" style="705" customWidth="1"/>
    <col min="8" max="8" width="4.5" style="705" customWidth="1"/>
    <col min="9" max="9" width="4.8984375" style="705" customWidth="1"/>
    <col min="10" max="10" width="5.8984375" style="705" customWidth="1"/>
    <col min="11" max="11" width="5.19921875" style="705" customWidth="1"/>
    <col min="12" max="12" width="3.09765625" style="705" customWidth="1"/>
    <col min="13" max="13" width="6" style="705" customWidth="1"/>
    <col min="14" max="14" width="3.3984375" style="705" customWidth="1"/>
    <col min="15" max="15" width="2.59765625" style="705" customWidth="1"/>
    <col min="16" max="16" width="4.5" style="705" customWidth="1"/>
    <col min="17" max="17" width="9.8984375" style="705" customWidth="1"/>
    <col min="18" max="18" width="6.69921875" style="705" customWidth="1"/>
    <col min="19" max="19" width="4" style="783" customWidth="1"/>
    <col min="20" max="16384" width="8.8984375" style="705"/>
  </cols>
  <sheetData>
    <row r="1" spans="1:23" s="950" customFormat="1" ht="21" customHeight="1" x14ac:dyDescent="0.35">
      <c r="A1" s="923" t="str">
        <f>Inicio!J6</f>
        <v>Estudante</v>
      </c>
      <c r="B1" s="923"/>
      <c r="C1" s="923"/>
      <c r="D1" s="923"/>
      <c r="E1" s="923" t="s">
        <v>256</v>
      </c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1088"/>
      <c r="U1" s="1088"/>
      <c r="V1" s="1088"/>
      <c r="W1" s="1088"/>
    </row>
    <row r="5" spans="1:23" s="950" customFormat="1" ht="14.25" customHeight="1" thickBot="1" x14ac:dyDescent="0.4">
      <c r="A5" s="923"/>
      <c r="L5" s="2069" t="s">
        <v>3</v>
      </c>
      <c r="M5" s="2069" t="s">
        <v>333</v>
      </c>
      <c r="N5" s="2069"/>
      <c r="S5" s="923"/>
    </row>
    <row r="6" spans="1:23" s="950" customFormat="1" ht="18" customHeight="1" thickBot="1" x14ac:dyDescent="0.4">
      <c r="A6" s="923"/>
      <c r="B6" s="951" t="s">
        <v>334</v>
      </c>
      <c r="C6" s="952" t="s">
        <v>3</v>
      </c>
      <c r="D6" s="2078">
        <v>33</v>
      </c>
      <c r="E6" s="2079"/>
      <c r="F6" s="926" t="s">
        <v>278</v>
      </c>
      <c r="G6" s="925">
        <f>D8</f>
        <v>6.5</v>
      </c>
      <c r="I6" s="2052" t="s">
        <v>335</v>
      </c>
      <c r="J6" s="2052"/>
      <c r="K6" s="2052"/>
      <c r="L6" s="2069"/>
      <c r="M6" s="2069"/>
      <c r="N6" s="2069"/>
      <c r="S6" s="923"/>
    </row>
    <row r="7" spans="1:23" s="950" customFormat="1" ht="14.25" customHeight="1" thickBot="1" x14ac:dyDescent="0.4">
      <c r="A7" s="923"/>
      <c r="B7" s="952"/>
      <c r="C7" s="952"/>
      <c r="D7" s="926"/>
      <c r="E7" s="926"/>
      <c r="F7" s="926"/>
      <c r="G7" s="2087" t="str">
        <f>D14</f>
        <v>z</v>
      </c>
      <c r="H7" s="2069" t="s">
        <v>3</v>
      </c>
      <c r="I7" s="2071" t="s">
        <v>301</v>
      </c>
      <c r="J7" s="2071"/>
      <c r="K7" s="2071"/>
      <c r="L7" s="2069"/>
      <c r="M7" s="2069"/>
      <c r="N7" s="2069"/>
      <c r="S7" s="923"/>
    </row>
    <row r="8" spans="1:23" s="950" customFormat="1" ht="14.25" customHeight="1" thickBot="1" x14ac:dyDescent="0.4">
      <c r="A8" s="923"/>
      <c r="B8" s="927" t="s">
        <v>22</v>
      </c>
      <c r="C8" s="928" t="s">
        <v>3</v>
      </c>
      <c r="D8" s="2048">
        <v>6.5</v>
      </c>
      <c r="E8" s="2049"/>
      <c r="F8" s="926" t="s">
        <v>265</v>
      </c>
      <c r="G8" s="2070"/>
      <c r="H8" s="2069"/>
      <c r="I8" s="2072"/>
      <c r="J8" s="2072"/>
      <c r="K8" s="2072"/>
      <c r="L8" s="2069"/>
      <c r="M8" s="2069"/>
      <c r="N8" s="2069"/>
      <c r="S8" s="923"/>
    </row>
    <row r="9" spans="1:23" s="950" customFormat="1" ht="18" customHeight="1" x14ac:dyDescent="0.35">
      <c r="A9" s="923"/>
      <c r="B9" s="953" t="s">
        <v>294</v>
      </c>
      <c r="C9" s="953"/>
      <c r="D9" s="954"/>
      <c r="E9" s="955">
        <f>90-D6</f>
        <v>57</v>
      </c>
      <c r="F9" s="955" t="s">
        <v>278</v>
      </c>
      <c r="G9" s="926"/>
      <c r="H9" s="926"/>
      <c r="I9" s="926"/>
      <c r="J9" s="926"/>
      <c r="K9" s="926"/>
      <c r="L9" s="926"/>
      <c r="M9" s="926"/>
      <c r="N9" s="926"/>
      <c r="S9" s="923"/>
    </row>
    <row r="10" spans="1:23" s="950" customFormat="1" ht="17.25" customHeight="1" x14ac:dyDescent="0.35">
      <c r="A10" s="923"/>
      <c r="G10" s="929" t="str">
        <f>B14</f>
        <v>y</v>
      </c>
      <c r="H10" s="2069" t="s">
        <v>3</v>
      </c>
      <c r="I10" s="2052" t="s">
        <v>336</v>
      </c>
      <c r="J10" s="2052"/>
      <c r="K10" s="2052"/>
      <c r="L10" s="2069" t="s">
        <v>3</v>
      </c>
      <c r="M10" s="2069" t="s">
        <v>337</v>
      </c>
      <c r="N10" s="2069"/>
      <c r="S10" s="923"/>
    </row>
    <row r="11" spans="1:23" s="950" customFormat="1" ht="19.5" customHeight="1" x14ac:dyDescent="0.35">
      <c r="A11" s="923"/>
      <c r="G11" s="927">
        <f>D17</f>
        <v>6.5</v>
      </c>
      <c r="H11" s="2069"/>
      <c r="I11" s="2053" t="s">
        <v>338</v>
      </c>
      <c r="J11" s="2047"/>
      <c r="K11" s="2047"/>
      <c r="L11" s="2069"/>
      <c r="M11" s="2069"/>
      <c r="N11" s="2069"/>
      <c r="S11" s="923"/>
    </row>
    <row r="12" spans="1:23" s="950" customFormat="1" ht="14.25" customHeight="1" x14ac:dyDescent="0.35">
      <c r="A12" s="923"/>
      <c r="D12" s="930"/>
      <c r="E12" s="930"/>
      <c r="F12" s="930"/>
      <c r="L12" s="926"/>
      <c r="M12" s="926"/>
      <c r="N12" s="926"/>
      <c r="S12" s="923"/>
    </row>
    <row r="13" spans="1:23" s="950" customFormat="1" ht="14.25" customHeight="1" x14ac:dyDescent="0.35">
      <c r="A13" s="923"/>
      <c r="B13" s="956"/>
      <c r="C13" s="956"/>
      <c r="D13" s="930"/>
      <c r="E13" s="930"/>
      <c r="F13" s="930"/>
      <c r="G13" s="929" t="str">
        <f>B14</f>
        <v>y</v>
      </c>
      <c r="H13" s="2069" t="s">
        <v>3</v>
      </c>
      <c r="I13" s="2052" t="s">
        <v>336</v>
      </c>
      <c r="J13" s="2052"/>
      <c r="K13" s="2052"/>
      <c r="L13" s="2069" t="s">
        <v>3</v>
      </c>
      <c r="M13" s="2069" t="s">
        <v>339</v>
      </c>
      <c r="N13" s="2069"/>
      <c r="S13" s="923"/>
    </row>
    <row r="14" spans="1:23" s="950" customFormat="1" ht="14.25" customHeight="1" x14ac:dyDescent="0.35">
      <c r="A14" s="923"/>
      <c r="B14" s="956" t="s">
        <v>292</v>
      </c>
      <c r="C14" s="956"/>
      <c r="D14" s="931" t="s">
        <v>293</v>
      </c>
      <c r="E14" s="932"/>
      <c r="G14" s="931" t="str">
        <f>D14</f>
        <v>z</v>
      </c>
      <c r="H14" s="2069"/>
      <c r="I14" s="2070" t="s">
        <v>300</v>
      </c>
      <c r="J14" s="2070"/>
      <c r="K14" s="2070"/>
      <c r="L14" s="2069"/>
      <c r="M14" s="2069"/>
      <c r="N14" s="2069"/>
      <c r="S14" s="923"/>
    </row>
    <row r="15" spans="1:23" s="950" customFormat="1" ht="14.25" customHeight="1" x14ac:dyDescent="0.35">
      <c r="A15" s="923"/>
      <c r="B15" s="956"/>
      <c r="C15" s="956"/>
      <c r="D15" s="926"/>
      <c r="E15" s="926"/>
      <c r="F15" s="926"/>
      <c r="S15" s="923"/>
    </row>
    <row r="16" spans="1:23" s="950" customFormat="1" ht="14.25" customHeight="1" x14ac:dyDescent="0.35">
      <c r="A16" s="923"/>
      <c r="B16" s="926"/>
      <c r="D16" s="957"/>
      <c r="E16" s="957"/>
      <c r="F16" s="926"/>
      <c r="S16" s="923"/>
    </row>
    <row r="17" spans="1:19" s="950" customFormat="1" ht="14.25" customHeight="1" thickBot="1" x14ac:dyDescent="0.4">
      <c r="A17" s="923"/>
      <c r="B17" s="957"/>
      <c r="C17" s="957"/>
      <c r="D17" s="958">
        <f>D8</f>
        <v>6.5</v>
      </c>
      <c r="E17" s="957"/>
      <c r="F17" s="926"/>
      <c r="S17" s="923"/>
    </row>
    <row r="18" spans="1:19" s="950" customFormat="1" ht="21" customHeight="1" x14ac:dyDescent="0.35">
      <c r="A18" s="923"/>
      <c r="B18" s="934" t="str">
        <f>B14</f>
        <v>y</v>
      </c>
      <c r="C18" s="2073" t="s">
        <v>3</v>
      </c>
      <c r="D18" s="2073"/>
      <c r="E18" s="959" t="str">
        <f>CONCATENATE("tg(",D6,"°)")</f>
        <v>tg(33°)</v>
      </c>
      <c r="F18" s="959"/>
      <c r="G18" s="960"/>
      <c r="H18" s="2084" t="s">
        <v>289</v>
      </c>
      <c r="I18" s="2075" t="str">
        <f>B18</f>
        <v>y</v>
      </c>
      <c r="J18" s="2080" t="s">
        <v>3</v>
      </c>
      <c r="K18" s="2073" t="str">
        <f>CONCATENATE(B19, " x ",E18)</f>
        <v>6,5 x tg(33°)</v>
      </c>
      <c r="L18" s="2073"/>
      <c r="M18" s="2073"/>
      <c r="N18" s="2073"/>
      <c r="O18" s="2073" t="s">
        <v>3</v>
      </c>
      <c r="P18" s="2092" t="str">
        <f>CONCATENATE(D17,"x",ROUND(TAN(D6/180*PI()),3),"=")</f>
        <v>6,5x0,649=</v>
      </c>
      <c r="Q18" s="2092"/>
      <c r="R18" s="2089">
        <f>B19*TAN(D6/180*PI())</f>
        <v>4.221149355783818</v>
      </c>
      <c r="S18" s="923"/>
    </row>
    <row r="19" spans="1:19" s="950" customFormat="1" ht="21" customHeight="1" thickBot="1" x14ac:dyDescent="0.4">
      <c r="A19" s="923"/>
      <c r="B19" s="936">
        <f>D17</f>
        <v>6.5</v>
      </c>
      <c r="C19" s="2074"/>
      <c r="D19" s="2074"/>
      <c r="E19" s="2074">
        <v>1</v>
      </c>
      <c r="F19" s="2074"/>
      <c r="G19" s="943"/>
      <c r="H19" s="2085"/>
      <c r="I19" s="2076"/>
      <c r="J19" s="2086"/>
      <c r="K19" s="2074"/>
      <c r="L19" s="2074"/>
      <c r="M19" s="2074"/>
      <c r="N19" s="2074"/>
      <c r="O19" s="2074"/>
      <c r="P19" s="2085"/>
      <c r="Q19" s="2085"/>
      <c r="R19" s="2090"/>
      <c r="S19" s="923"/>
    </row>
    <row r="20" spans="1:19" s="950" customFormat="1" ht="21" customHeight="1" x14ac:dyDescent="0.35">
      <c r="A20" s="923"/>
      <c r="B20" s="937">
        <f>D17</f>
        <v>6.5</v>
      </c>
      <c r="C20" s="2073" t="s">
        <v>3</v>
      </c>
      <c r="D20" s="2073" t="s">
        <v>3</v>
      </c>
      <c r="E20" s="2088" t="str">
        <f>CONCATENATE("cos(",D6,"°)")</f>
        <v>cos(33°)</v>
      </c>
      <c r="F20" s="2088"/>
      <c r="G20" s="2088"/>
      <c r="H20" s="2080" t="s">
        <v>289</v>
      </c>
      <c r="I20" s="2082" t="str">
        <f>B21</f>
        <v>z</v>
      </c>
      <c r="J20" s="2073" t="str">
        <f>C20</f>
        <v>=</v>
      </c>
      <c r="K20" s="2088">
        <f>B20</f>
        <v>6.5</v>
      </c>
      <c r="L20" s="2088"/>
      <c r="M20" s="2088"/>
      <c r="N20" s="960"/>
      <c r="O20" s="2073" t="s">
        <v>3</v>
      </c>
      <c r="P20" s="2073" t="str">
        <f>CONCATENATE(D17,"/",ROUND(COS(D6/180*PI()),3),"=")</f>
        <v>6,5/0,839=</v>
      </c>
      <c r="Q20" s="2073"/>
      <c r="R20" s="2089">
        <f>D17/COS(D6/180*PI())</f>
        <v>7.7503614034336579</v>
      </c>
      <c r="S20" s="923"/>
    </row>
    <row r="21" spans="1:19" s="950" customFormat="1" ht="21" customHeight="1" thickBot="1" x14ac:dyDescent="0.4">
      <c r="A21" s="923"/>
      <c r="B21" s="938" t="str">
        <f>D14</f>
        <v>z</v>
      </c>
      <c r="C21" s="2077"/>
      <c r="D21" s="2077"/>
      <c r="E21" s="944"/>
      <c r="F21" s="944">
        <v>1</v>
      </c>
      <c r="G21" s="944"/>
      <c r="H21" s="2081"/>
      <c r="I21" s="2083"/>
      <c r="J21" s="2077"/>
      <c r="K21" s="2091" t="str">
        <f>E20</f>
        <v>cos(33°)</v>
      </c>
      <c r="L21" s="2091"/>
      <c r="M21" s="2091"/>
      <c r="N21" s="944"/>
      <c r="O21" s="2077"/>
      <c r="P21" s="2077"/>
      <c r="Q21" s="2077"/>
      <c r="R21" s="2093"/>
      <c r="S21" s="923"/>
    </row>
    <row r="22" spans="1:19" s="950" customFormat="1" ht="21" customHeight="1" x14ac:dyDescent="0.35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</row>
    <row r="23" spans="1:19" s="950" customFormat="1" ht="14.25" customHeight="1" x14ac:dyDescent="0.35">
      <c r="A23" s="923"/>
      <c r="S23" s="923"/>
    </row>
  </sheetData>
  <mergeCells count="37">
    <mergeCell ref="P20:Q21"/>
    <mergeCell ref="K18:N19"/>
    <mergeCell ref="O20:O21"/>
    <mergeCell ref="O18:O19"/>
    <mergeCell ref="R18:R19"/>
    <mergeCell ref="K20:M20"/>
    <mergeCell ref="K21:M21"/>
    <mergeCell ref="P18:Q19"/>
    <mergeCell ref="R20:R21"/>
    <mergeCell ref="C18:D19"/>
    <mergeCell ref="I18:I19"/>
    <mergeCell ref="C20:D21"/>
    <mergeCell ref="L5:L8"/>
    <mergeCell ref="D6:E6"/>
    <mergeCell ref="H20:H21"/>
    <mergeCell ref="I20:I21"/>
    <mergeCell ref="H18:H19"/>
    <mergeCell ref="J18:J19"/>
    <mergeCell ref="D8:E8"/>
    <mergeCell ref="G7:G8"/>
    <mergeCell ref="E19:F19"/>
    <mergeCell ref="E20:G20"/>
    <mergeCell ref="J20:J21"/>
    <mergeCell ref="M5:N8"/>
    <mergeCell ref="M10:N11"/>
    <mergeCell ref="M13:N14"/>
    <mergeCell ref="H13:H14"/>
    <mergeCell ref="I13:K13"/>
    <mergeCell ref="L13:L14"/>
    <mergeCell ref="I11:K11"/>
    <mergeCell ref="I14:K14"/>
    <mergeCell ref="H10:H11"/>
    <mergeCell ref="I10:K10"/>
    <mergeCell ref="L10:L11"/>
    <mergeCell ref="I7:K8"/>
    <mergeCell ref="H7:H8"/>
    <mergeCell ref="I6:K6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AA90"/>
  <sheetViews>
    <sheetView workbookViewId="0">
      <selection activeCell="T7" sqref="T7"/>
    </sheetView>
  </sheetViews>
  <sheetFormatPr defaultColWidth="5.3984375" defaultRowHeight="19.5" customHeight="1" x14ac:dyDescent="0.3"/>
  <cols>
    <col min="1" max="1" width="2.3984375" style="940" customWidth="1"/>
    <col min="2" max="11" width="5.3984375" style="924"/>
    <col min="12" max="12" width="7.5" style="924" customWidth="1"/>
    <col min="13" max="17" width="5.3984375" style="924"/>
    <col min="18" max="18" width="12" style="940" customWidth="1"/>
    <col min="19" max="19" width="5.3984375" style="924"/>
    <col min="20" max="20" width="63" style="940" customWidth="1"/>
    <col min="21" max="21" width="5.3984375" style="940"/>
    <col min="22" max="22" width="52.19921875" style="940" customWidth="1"/>
    <col min="23" max="23" width="5.3984375" style="940" customWidth="1"/>
    <col min="24" max="24" width="41.5" style="940" customWidth="1"/>
    <col min="25" max="25" width="5.3984375" style="940"/>
    <col min="26" max="26" width="30.69921875" style="940" customWidth="1"/>
    <col min="27" max="27" width="5.3984375" style="940"/>
    <col min="28" max="16384" width="5.3984375" style="924"/>
  </cols>
  <sheetData>
    <row r="1" spans="1:19" ht="16.5" customHeight="1" x14ac:dyDescent="0.3">
      <c r="A1" s="940" t="str">
        <f>Inicio!J6</f>
        <v>Estudante</v>
      </c>
      <c r="B1" s="940"/>
      <c r="C1" s="940"/>
      <c r="D1" s="940"/>
      <c r="E1" s="940" t="s">
        <v>256</v>
      </c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S1" s="940"/>
    </row>
    <row r="2" spans="1:19" ht="19.5" customHeight="1" x14ac:dyDescent="0.3">
      <c r="R2" s="963"/>
      <c r="S2" s="940"/>
    </row>
    <row r="3" spans="1:19" ht="19.5" customHeight="1" x14ac:dyDescent="0.3">
      <c r="Q3" s="963"/>
      <c r="R3" s="963"/>
      <c r="S3" s="940"/>
    </row>
    <row r="4" spans="1:19" ht="19.5" customHeight="1" x14ac:dyDescent="0.3">
      <c r="Q4" s="963"/>
      <c r="R4" s="963" t="s">
        <v>22</v>
      </c>
      <c r="S4" s="940"/>
    </row>
    <row r="5" spans="1:19" ht="30.75" customHeight="1" thickBot="1" x14ac:dyDescent="0.4">
      <c r="B5" s="950"/>
      <c r="C5" s="950"/>
      <c r="D5" s="950"/>
      <c r="E5" s="950"/>
      <c r="F5" s="950"/>
      <c r="G5" s="950"/>
      <c r="H5" s="950"/>
      <c r="I5" s="950"/>
      <c r="J5" s="950"/>
      <c r="K5" s="950"/>
      <c r="O5" s="950"/>
      <c r="P5" s="950"/>
      <c r="Q5" s="1089"/>
      <c r="R5" s="1089"/>
      <c r="S5" s="940"/>
    </row>
    <row r="6" spans="1:19" ht="19.5" customHeight="1" thickBot="1" x14ac:dyDescent="0.4">
      <c r="B6" s="951" t="s">
        <v>334</v>
      </c>
      <c r="C6" s="952" t="s">
        <v>3</v>
      </c>
      <c r="D6" s="2078">
        <v>60</v>
      </c>
      <c r="E6" s="2079"/>
      <c r="F6" s="926" t="s">
        <v>278</v>
      </c>
      <c r="G6" s="925">
        <f>D8</f>
        <v>18.899999999999999</v>
      </c>
      <c r="H6" s="1713" t="s">
        <v>3</v>
      </c>
      <c r="I6" s="2052" t="s">
        <v>335</v>
      </c>
      <c r="J6" s="2052"/>
      <c r="K6" s="2052"/>
      <c r="L6" s="1713" t="s">
        <v>3</v>
      </c>
      <c r="M6" s="1713" t="s">
        <v>333</v>
      </c>
      <c r="N6" s="1713"/>
      <c r="O6" s="950"/>
      <c r="P6" s="950"/>
      <c r="Q6" s="1089"/>
      <c r="R6" s="1089"/>
      <c r="S6" s="940"/>
    </row>
    <row r="7" spans="1:19" ht="15" customHeight="1" thickBot="1" x14ac:dyDescent="0.4">
      <c r="B7" s="952"/>
      <c r="C7" s="952"/>
      <c r="D7" s="926"/>
      <c r="E7" s="926"/>
      <c r="F7" s="926"/>
      <c r="G7" s="2071" t="str">
        <f>D14</f>
        <v>z</v>
      </c>
      <c r="H7" s="1713"/>
      <c r="I7" s="2071" t="s">
        <v>301</v>
      </c>
      <c r="J7" s="2071"/>
      <c r="K7" s="2071"/>
      <c r="L7" s="1713"/>
      <c r="M7" s="1713"/>
      <c r="N7" s="1713"/>
      <c r="O7" s="950"/>
      <c r="P7" s="950"/>
      <c r="Q7" s="1089"/>
      <c r="R7" s="1089"/>
      <c r="S7" s="940"/>
    </row>
    <row r="8" spans="1:19" ht="19.5" customHeight="1" thickBot="1" x14ac:dyDescent="0.4">
      <c r="B8" s="927" t="s">
        <v>292</v>
      </c>
      <c r="C8" s="928" t="s">
        <v>3</v>
      </c>
      <c r="D8" s="2048">
        <v>18.899999999999999</v>
      </c>
      <c r="E8" s="2049"/>
      <c r="F8" s="926" t="s">
        <v>265</v>
      </c>
      <c r="G8" s="2072"/>
      <c r="H8" s="966"/>
      <c r="I8" s="2072"/>
      <c r="J8" s="2072"/>
      <c r="K8" s="2072"/>
      <c r="L8" s="950"/>
      <c r="M8" s="950"/>
      <c r="N8" s="950"/>
      <c r="O8" s="950"/>
      <c r="P8" s="950"/>
      <c r="Q8" s="950"/>
      <c r="R8" s="950"/>
      <c r="S8" s="940"/>
    </row>
    <row r="9" spans="1:19" ht="19.5" customHeight="1" x14ac:dyDescent="0.35">
      <c r="B9" s="953" t="s">
        <v>294</v>
      </c>
      <c r="C9" s="953"/>
      <c r="D9" s="954"/>
      <c r="E9" s="955">
        <f>90-D6</f>
        <v>30</v>
      </c>
      <c r="F9" s="955" t="s">
        <v>278</v>
      </c>
      <c r="G9" s="926"/>
      <c r="H9" s="926"/>
      <c r="I9" s="926"/>
      <c r="J9" s="926"/>
      <c r="K9" s="926"/>
      <c r="L9" s="926"/>
      <c r="M9" s="926"/>
      <c r="N9" s="926"/>
      <c r="O9" s="950"/>
      <c r="P9" s="950"/>
      <c r="Q9" s="950"/>
      <c r="R9" s="950"/>
      <c r="S9" s="940"/>
    </row>
    <row r="10" spans="1:19" ht="17.25" customHeight="1" x14ac:dyDescent="0.35">
      <c r="B10" s="950"/>
      <c r="C10" s="950"/>
      <c r="D10" s="950"/>
      <c r="E10" s="950"/>
      <c r="F10" s="950"/>
      <c r="G10" s="929">
        <f>B14</f>
        <v>18.899999999999999</v>
      </c>
      <c r="H10" s="1713" t="s">
        <v>3</v>
      </c>
      <c r="I10" s="2052" t="s">
        <v>336</v>
      </c>
      <c r="J10" s="2052"/>
      <c r="K10" s="2052"/>
      <c r="L10" s="1713" t="s">
        <v>3</v>
      </c>
      <c r="M10" s="1713" t="s">
        <v>337</v>
      </c>
      <c r="N10" s="1713"/>
      <c r="O10" s="950"/>
      <c r="P10" s="950"/>
      <c r="Q10" s="950"/>
      <c r="R10" s="950"/>
      <c r="S10" s="940"/>
    </row>
    <row r="11" spans="1:19" ht="19.5" customHeight="1" x14ac:dyDescent="0.35">
      <c r="B11" s="950"/>
      <c r="C11" s="950"/>
      <c r="D11" s="950"/>
      <c r="E11" s="950"/>
      <c r="F11" s="950"/>
      <c r="G11" s="927" t="str">
        <f>D15</f>
        <v>x</v>
      </c>
      <c r="H11" s="1713"/>
      <c r="I11" s="2053" t="s">
        <v>338</v>
      </c>
      <c r="J11" s="2047"/>
      <c r="K11" s="2047"/>
      <c r="L11" s="1713"/>
      <c r="M11" s="1713"/>
      <c r="N11" s="1713"/>
      <c r="O11" s="950"/>
      <c r="P11" s="950"/>
      <c r="Q11" s="950"/>
      <c r="R11" s="950"/>
      <c r="S11" s="940"/>
    </row>
    <row r="12" spans="1:19" ht="14.25" customHeight="1" x14ac:dyDescent="0.35">
      <c r="B12" s="950"/>
      <c r="C12" s="950"/>
      <c r="D12" s="930"/>
      <c r="E12" s="930"/>
      <c r="F12" s="930"/>
      <c r="G12" s="950"/>
      <c r="H12" s="950"/>
      <c r="I12" s="950"/>
      <c r="J12" s="950"/>
      <c r="K12" s="950"/>
      <c r="L12" s="926"/>
      <c r="M12" s="926"/>
      <c r="N12" s="926"/>
      <c r="O12" s="950"/>
      <c r="P12" s="950"/>
      <c r="Q12" s="950"/>
      <c r="R12" s="950"/>
      <c r="S12" s="940"/>
    </row>
    <row r="13" spans="1:19" ht="19.5" customHeight="1" x14ac:dyDescent="0.35">
      <c r="B13" s="956"/>
      <c r="C13" s="956"/>
      <c r="D13" s="930"/>
      <c r="E13" s="930"/>
      <c r="F13" s="930"/>
      <c r="G13" s="929">
        <f>B14</f>
        <v>18.899999999999999</v>
      </c>
      <c r="H13" s="1713" t="s">
        <v>3</v>
      </c>
      <c r="I13" s="2052" t="s">
        <v>336</v>
      </c>
      <c r="J13" s="2052"/>
      <c r="K13" s="2052"/>
      <c r="L13" s="1713" t="s">
        <v>3</v>
      </c>
      <c r="M13" s="1713" t="s">
        <v>339</v>
      </c>
      <c r="N13" s="1713"/>
      <c r="O13" s="950"/>
      <c r="P13" s="950"/>
      <c r="Q13" s="950"/>
      <c r="R13" s="950"/>
      <c r="S13" s="940"/>
    </row>
    <row r="14" spans="1:19" ht="19.5" customHeight="1" x14ac:dyDescent="0.35">
      <c r="B14" s="956">
        <f>D8</f>
        <v>18.899999999999999</v>
      </c>
      <c r="C14" s="956"/>
      <c r="D14" s="1416" t="s">
        <v>293</v>
      </c>
      <c r="E14" s="932"/>
      <c r="F14" s="950"/>
      <c r="G14" s="931" t="str">
        <f>D14</f>
        <v>z</v>
      </c>
      <c r="H14" s="1713"/>
      <c r="I14" s="2070" t="s">
        <v>300</v>
      </c>
      <c r="J14" s="2070"/>
      <c r="K14" s="2070"/>
      <c r="L14" s="1713"/>
      <c r="M14" s="1713"/>
      <c r="N14" s="1713"/>
      <c r="O14" s="950"/>
      <c r="P14" s="950"/>
      <c r="Q14" s="950"/>
      <c r="R14" s="950"/>
      <c r="S14" s="940"/>
    </row>
    <row r="15" spans="1:19" ht="30" customHeight="1" thickBot="1" x14ac:dyDescent="0.4">
      <c r="B15" s="926"/>
      <c r="C15" s="950"/>
      <c r="D15" s="958" t="str">
        <f>R4</f>
        <v>x</v>
      </c>
      <c r="E15" s="957"/>
      <c r="F15" s="926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40"/>
    </row>
    <row r="16" spans="1:19" ht="19.5" customHeight="1" x14ac:dyDescent="0.35">
      <c r="B16" s="934">
        <f>B14</f>
        <v>18.899999999999999</v>
      </c>
      <c r="C16" s="2073" t="s">
        <v>3</v>
      </c>
      <c r="D16" s="2073"/>
      <c r="E16" s="959" t="str">
        <f>CONCATENATE("tg(",D6,"°)")</f>
        <v>tg(60°)</v>
      </c>
      <c r="F16" s="959"/>
      <c r="G16" s="960"/>
      <c r="H16" s="2028" t="s">
        <v>289</v>
      </c>
      <c r="I16" s="2058" t="s">
        <v>22</v>
      </c>
      <c r="J16" s="2096" t="s">
        <v>3</v>
      </c>
      <c r="K16" s="2104" t="str">
        <f>CONCATENATE(B16, " /",E16)</f>
        <v>18,9 /tg(60°)</v>
      </c>
      <c r="L16" s="2104"/>
      <c r="M16" s="2026" t="s">
        <v>3</v>
      </c>
      <c r="N16" s="967"/>
      <c r="O16" s="2073" t="s">
        <v>3</v>
      </c>
      <c r="P16" s="2098" t="str">
        <f>CONCATENATE(B16,"/",ROUND(TAN(D6/180*PI()),3),"=")</f>
        <v>18,9/1,732=</v>
      </c>
      <c r="Q16" s="2098"/>
      <c r="R16" s="2100">
        <f>B16/TAN(D6/180*PI())</f>
        <v>10.91192008768393</v>
      </c>
      <c r="S16" s="940"/>
    </row>
    <row r="17" spans="2:19" ht="19.5" customHeight="1" thickBot="1" x14ac:dyDescent="0.4">
      <c r="B17" s="936" t="str">
        <f>D15</f>
        <v>x</v>
      </c>
      <c r="C17" s="2074"/>
      <c r="D17" s="2074"/>
      <c r="E17" s="2074">
        <v>1</v>
      </c>
      <c r="F17" s="2074"/>
      <c r="G17" s="943"/>
      <c r="H17" s="2029"/>
      <c r="I17" s="2102"/>
      <c r="J17" s="2097"/>
      <c r="K17" s="2029"/>
      <c r="L17" s="2029"/>
      <c r="M17" s="2027"/>
      <c r="N17" s="968"/>
      <c r="O17" s="2074"/>
      <c r="P17" s="2099"/>
      <c r="Q17" s="2099"/>
      <c r="R17" s="2101"/>
      <c r="S17" s="940"/>
    </row>
    <row r="18" spans="2:19" ht="19.5" customHeight="1" x14ac:dyDescent="0.35">
      <c r="B18" s="934">
        <f>B14</f>
        <v>18.899999999999999</v>
      </c>
      <c r="C18" s="2073" t="s">
        <v>3</v>
      </c>
      <c r="D18" s="2073" t="s">
        <v>3</v>
      </c>
      <c r="E18" s="2088" t="str">
        <f>CONCATENATE("sen(",D6,"°)")</f>
        <v>sen(60°)</v>
      </c>
      <c r="F18" s="2088"/>
      <c r="G18" s="2088"/>
      <c r="H18" s="2080" t="s">
        <v>289</v>
      </c>
      <c r="I18" s="2094" t="str">
        <f>B19</f>
        <v>z</v>
      </c>
      <c r="J18" s="2073" t="str">
        <f>C18</f>
        <v>=</v>
      </c>
      <c r="K18" s="2088">
        <f>B18</f>
        <v>18.899999999999999</v>
      </c>
      <c r="L18" s="2088"/>
      <c r="M18" s="2088"/>
      <c r="N18" s="960"/>
      <c r="O18" s="2073" t="s">
        <v>3</v>
      </c>
      <c r="P18" s="2098" t="str">
        <f>CONCATENATE(B18,"/",ROUND(SIN(D6/180*PI()),3),"=")</f>
        <v>18,9/0,866=</v>
      </c>
      <c r="Q18" s="2098"/>
      <c r="R18" s="2100">
        <f>B18/SIN(D6/180*PI())</f>
        <v>21.823840175367852</v>
      </c>
      <c r="S18" s="940"/>
    </row>
    <row r="19" spans="2:19" ht="19.5" customHeight="1" thickBot="1" x14ac:dyDescent="0.4">
      <c r="B19" s="938" t="str">
        <f>D14</f>
        <v>z</v>
      </c>
      <c r="C19" s="2077"/>
      <c r="D19" s="2077"/>
      <c r="E19" s="944"/>
      <c r="F19" s="944">
        <v>1</v>
      </c>
      <c r="G19" s="944"/>
      <c r="H19" s="2081"/>
      <c r="I19" s="2095"/>
      <c r="J19" s="2077"/>
      <c r="K19" s="2091" t="str">
        <f>E18</f>
        <v>sen(60°)</v>
      </c>
      <c r="L19" s="2091"/>
      <c r="M19" s="2091"/>
      <c r="N19" s="944"/>
      <c r="O19" s="2077"/>
      <c r="P19" s="2105"/>
      <c r="Q19" s="2105"/>
      <c r="R19" s="2103"/>
      <c r="S19" s="940"/>
    </row>
    <row r="20" spans="2:19" ht="19.5" customHeight="1" x14ac:dyDescent="0.3">
      <c r="B20" s="940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S20" s="940"/>
    </row>
    <row r="21" spans="2:19" s="940" customFormat="1" ht="19.5" customHeight="1" x14ac:dyDescent="0.3"/>
    <row r="22" spans="2:19" s="940" customFormat="1" ht="19.5" customHeight="1" x14ac:dyDescent="0.3"/>
    <row r="23" spans="2:19" s="940" customFormat="1" ht="19.5" customHeight="1" x14ac:dyDescent="0.3"/>
    <row r="24" spans="2:19" s="940" customFormat="1" ht="19.5" customHeight="1" x14ac:dyDescent="0.3"/>
    <row r="25" spans="2:19" s="940" customFormat="1" ht="19.5" customHeight="1" x14ac:dyDescent="0.3"/>
    <row r="26" spans="2:19" s="940" customFormat="1" ht="19.5" customHeight="1" x14ac:dyDescent="0.3"/>
    <row r="27" spans="2:19" s="940" customFormat="1" ht="19.5" customHeight="1" x14ac:dyDescent="0.3"/>
    <row r="28" spans="2:19" s="940" customFormat="1" ht="19.5" customHeight="1" x14ac:dyDescent="0.3"/>
    <row r="29" spans="2:19" s="940" customFormat="1" ht="19.5" customHeight="1" x14ac:dyDescent="0.3"/>
    <row r="30" spans="2:19" s="940" customFormat="1" ht="19.5" customHeight="1" x14ac:dyDescent="0.3"/>
    <row r="31" spans="2:19" s="940" customFormat="1" ht="19.5" customHeight="1" x14ac:dyDescent="0.3"/>
    <row r="32" spans="2:19" s="940" customFormat="1" ht="19.5" customHeight="1" x14ac:dyDescent="0.3"/>
    <row r="33" s="940" customFormat="1" ht="19.5" customHeight="1" x14ac:dyDescent="0.3"/>
    <row r="34" s="940" customFormat="1" ht="19.5" customHeight="1" x14ac:dyDescent="0.3"/>
    <row r="35" s="940" customFormat="1" ht="19.5" customHeight="1" x14ac:dyDescent="0.3"/>
    <row r="36" s="940" customFormat="1" ht="19.5" customHeight="1" x14ac:dyDescent="0.3"/>
    <row r="37" s="940" customFormat="1" ht="19.5" customHeight="1" x14ac:dyDescent="0.3"/>
    <row r="38" s="940" customFormat="1" ht="19.5" customHeight="1" x14ac:dyDescent="0.3"/>
    <row r="39" s="940" customFormat="1" ht="19.5" customHeight="1" x14ac:dyDescent="0.3"/>
    <row r="40" s="940" customFormat="1" ht="19.5" customHeight="1" x14ac:dyDescent="0.3"/>
    <row r="41" s="940" customFormat="1" ht="19.5" customHeight="1" x14ac:dyDescent="0.3"/>
    <row r="42" s="940" customFormat="1" ht="19.5" customHeight="1" x14ac:dyDescent="0.3"/>
    <row r="43" s="940" customFormat="1" ht="19.5" customHeight="1" x14ac:dyDescent="0.3"/>
    <row r="44" s="940" customFormat="1" ht="19.5" customHeight="1" x14ac:dyDescent="0.3"/>
    <row r="45" s="940" customFormat="1" ht="19.5" customHeight="1" x14ac:dyDescent="0.3"/>
    <row r="46" s="940" customFormat="1" ht="19.5" customHeight="1" x14ac:dyDescent="0.3"/>
    <row r="47" s="940" customFormat="1" ht="19.5" customHeight="1" x14ac:dyDescent="0.3"/>
    <row r="48" s="940" customFormat="1" ht="19.5" customHeight="1" x14ac:dyDescent="0.3"/>
    <row r="49" spans="1:27" s="940" customFormat="1" ht="19.5" customHeight="1" x14ac:dyDescent="0.3"/>
    <row r="50" spans="1:27" s="940" customFormat="1" ht="19.5" customHeight="1" x14ac:dyDescent="0.3"/>
    <row r="51" spans="1:27" s="940" customFormat="1" ht="19.5" customHeight="1" x14ac:dyDescent="0.3"/>
    <row r="52" spans="1:27" s="940" customFormat="1" ht="19.5" customHeight="1" x14ac:dyDescent="0.3"/>
    <row r="53" spans="1:27" s="940" customFormat="1" ht="19.5" customHeight="1" x14ac:dyDescent="0.3"/>
    <row r="54" spans="1:27" s="940" customFormat="1" ht="19.5" customHeight="1" x14ac:dyDescent="0.3"/>
    <row r="55" spans="1:27" s="940" customFormat="1" ht="19.5" customHeight="1" x14ac:dyDescent="0.3"/>
    <row r="56" spans="1:27" s="940" customFormat="1" ht="19.5" customHeight="1" x14ac:dyDescent="0.3"/>
    <row r="57" spans="1:27" s="940" customFormat="1" ht="19.5" customHeight="1" x14ac:dyDescent="0.3"/>
    <row r="58" spans="1:27" s="940" customFormat="1" ht="19.5" customHeight="1" x14ac:dyDescent="0.3"/>
    <row r="59" spans="1:27" s="940" customFormat="1" ht="19.5" customHeight="1" x14ac:dyDescent="0.3"/>
    <row r="60" spans="1:27" s="940" customFormat="1" ht="19.5" customHeight="1" x14ac:dyDescent="0.3"/>
    <row r="61" spans="1:27" s="940" customFormat="1" ht="19.5" customHeight="1" x14ac:dyDescent="0.3"/>
    <row r="62" spans="1:27" s="940" customFormat="1" ht="19.5" customHeight="1" x14ac:dyDescent="0.3"/>
    <row r="63" spans="1:27" s="940" customFormat="1" ht="19.5" customHeight="1" x14ac:dyDescent="0.3"/>
    <row r="64" spans="1:27" s="965" customFormat="1" ht="19.5" customHeight="1" x14ac:dyDescent="0.3">
      <c r="A64" s="964"/>
      <c r="B64" s="964"/>
      <c r="C64" s="964"/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40"/>
      <c r="U64" s="940"/>
      <c r="V64" s="940"/>
      <c r="W64" s="940"/>
      <c r="X64" s="940"/>
      <c r="Y64" s="940"/>
      <c r="Z64" s="940"/>
      <c r="AA64" s="940"/>
    </row>
    <row r="65" spans="1:27" s="965" customFormat="1" ht="19.5" customHeight="1" x14ac:dyDescent="0.3">
      <c r="A65" s="964"/>
      <c r="B65" s="964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40"/>
      <c r="U65" s="940"/>
      <c r="V65" s="940"/>
      <c r="W65" s="940"/>
      <c r="X65" s="940"/>
      <c r="Y65" s="940"/>
      <c r="Z65" s="940"/>
      <c r="AA65" s="940"/>
    </row>
    <row r="66" spans="1:27" s="965" customFormat="1" ht="19.5" customHeight="1" x14ac:dyDescent="0.3">
      <c r="A66" s="964"/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40"/>
      <c r="U66" s="940"/>
      <c r="V66" s="940"/>
      <c r="W66" s="940"/>
      <c r="X66" s="940"/>
      <c r="Y66" s="940"/>
      <c r="Z66" s="940"/>
      <c r="AA66" s="940"/>
    </row>
    <row r="67" spans="1:27" s="965" customFormat="1" ht="19.5" customHeight="1" x14ac:dyDescent="0.3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40"/>
      <c r="U67" s="940"/>
      <c r="V67" s="940"/>
      <c r="W67" s="940"/>
      <c r="X67" s="940"/>
      <c r="Y67" s="940"/>
      <c r="Z67" s="940"/>
      <c r="AA67" s="940"/>
    </row>
    <row r="68" spans="1:27" s="965" customFormat="1" ht="19.5" customHeight="1" x14ac:dyDescent="0.3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40"/>
      <c r="U68" s="940"/>
      <c r="V68" s="940"/>
      <c r="W68" s="940"/>
      <c r="X68" s="940"/>
      <c r="Y68" s="940"/>
      <c r="Z68" s="940"/>
      <c r="AA68" s="940"/>
    </row>
    <row r="69" spans="1:27" s="965" customFormat="1" ht="19.5" customHeight="1" x14ac:dyDescent="0.3">
      <c r="A69" s="964"/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40"/>
      <c r="U69" s="940"/>
      <c r="V69" s="940"/>
      <c r="W69" s="940"/>
      <c r="X69" s="940"/>
      <c r="Y69" s="940"/>
      <c r="Z69" s="940"/>
      <c r="AA69" s="940"/>
    </row>
    <row r="70" spans="1:27" s="965" customFormat="1" ht="19.5" customHeight="1" x14ac:dyDescent="0.3">
      <c r="A70" s="964"/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40"/>
      <c r="U70" s="940"/>
      <c r="V70" s="940"/>
      <c r="W70" s="940"/>
      <c r="X70" s="940"/>
      <c r="Y70" s="940"/>
      <c r="Z70" s="940"/>
      <c r="AA70" s="940"/>
    </row>
    <row r="71" spans="1:27" s="965" customFormat="1" ht="19.5" customHeight="1" x14ac:dyDescent="0.3">
      <c r="A71" s="964"/>
      <c r="B71" s="964"/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40"/>
      <c r="U71" s="940"/>
      <c r="V71" s="940"/>
      <c r="W71" s="940"/>
      <c r="X71" s="940"/>
      <c r="Y71" s="940"/>
      <c r="Z71" s="940"/>
      <c r="AA71" s="940"/>
    </row>
    <row r="72" spans="1:27" s="965" customFormat="1" ht="19.5" customHeight="1" x14ac:dyDescent="0.3">
      <c r="A72" s="964"/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40"/>
      <c r="U72" s="940"/>
      <c r="V72" s="940"/>
      <c r="W72" s="940"/>
      <c r="X72" s="940"/>
      <c r="Y72" s="940"/>
      <c r="Z72" s="940"/>
      <c r="AA72" s="940"/>
    </row>
    <row r="73" spans="1:27" s="965" customFormat="1" ht="19.5" customHeight="1" x14ac:dyDescent="0.3">
      <c r="A73" s="964"/>
      <c r="B73" s="964"/>
      <c r="C73" s="964"/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  <c r="O73" s="964"/>
      <c r="P73" s="964"/>
      <c r="Q73" s="964"/>
      <c r="R73" s="964"/>
      <c r="S73" s="964"/>
      <c r="T73" s="940"/>
      <c r="U73" s="940"/>
      <c r="V73" s="940"/>
      <c r="W73" s="940"/>
      <c r="X73" s="940"/>
      <c r="Y73" s="940"/>
      <c r="Z73" s="940"/>
      <c r="AA73" s="940"/>
    </row>
    <row r="74" spans="1:27" s="965" customFormat="1" ht="19.5" customHeight="1" x14ac:dyDescent="0.3">
      <c r="A74" s="964"/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40"/>
      <c r="U74" s="940"/>
      <c r="V74" s="940"/>
      <c r="W74" s="940"/>
      <c r="X74" s="940"/>
      <c r="Y74" s="940"/>
      <c r="Z74" s="940"/>
      <c r="AA74" s="940"/>
    </row>
    <row r="75" spans="1:27" s="965" customFormat="1" ht="19.5" customHeight="1" x14ac:dyDescent="0.3">
      <c r="A75" s="964"/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4"/>
      <c r="R75" s="964"/>
      <c r="S75" s="964"/>
      <c r="T75" s="940"/>
      <c r="U75" s="940"/>
      <c r="V75" s="940"/>
      <c r="W75" s="940"/>
      <c r="X75" s="940"/>
      <c r="Y75" s="940"/>
      <c r="Z75" s="940"/>
      <c r="AA75" s="940"/>
    </row>
    <row r="76" spans="1:27" s="965" customFormat="1" ht="19.5" customHeight="1" x14ac:dyDescent="0.3">
      <c r="A76" s="964"/>
      <c r="B76" s="964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40"/>
      <c r="U76" s="940"/>
      <c r="V76" s="940"/>
      <c r="W76" s="940"/>
      <c r="X76" s="940"/>
      <c r="Y76" s="940"/>
      <c r="Z76" s="940"/>
      <c r="AA76" s="940"/>
    </row>
    <row r="77" spans="1:27" s="965" customFormat="1" ht="19.5" customHeight="1" x14ac:dyDescent="0.3">
      <c r="A77" s="964"/>
      <c r="B77" s="964"/>
      <c r="C77" s="964"/>
      <c r="D77" s="964"/>
      <c r="E77" s="964"/>
      <c r="F77" s="964"/>
      <c r="G77" s="964"/>
      <c r="H77" s="964"/>
      <c r="I77" s="964"/>
      <c r="J77" s="964"/>
      <c r="K77" s="964"/>
      <c r="L77" s="964"/>
      <c r="M77" s="964"/>
      <c r="N77" s="964"/>
      <c r="O77" s="964"/>
      <c r="P77" s="964"/>
      <c r="Q77" s="964"/>
      <c r="R77" s="964"/>
      <c r="S77" s="964"/>
      <c r="T77" s="940"/>
      <c r="U77" s="940"/>
      <c r="V77" s="940"/>
      <c r="W77" s="940"/>
      <c r="X77" s="940"/>
      <c r="Y77" s="940"/>
      <c r="Z77" s="940"/>
      <c r="AA77" s="940"/>
    </row>
    <row r="78" spans="1:27" s="965" customFormat="1" ht="19.5" customHeight="1" x14ac:dyDescent="0.3">
      <c r="A78" s="964"/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40"/>
      <c r="U78" s="940"/>
      <c r="V78" s="940"/>
      <c r="W78" s="940"/>
      <c r="X78" s="940"/>
      <c r="Y78" s="940"/>
      <c r="Z78" s="940"/>
      <c r="AA78" s="940"/>
    </row>
    <row r="79" spans="1:27" s="965" customFormat="1" ht="19.5" customHeight="1" x14ac:dyDescent="0.3">
      <c r="A79" s="964"/>
      <c r="B79" s="964"/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40"/>
      <c r="U79" s="940"/>
      <c r="V79" s="940"/>
      <c r="W79" s="940"/>
      <c r="X79" s="940"/>
      <c r="Y79" s="940"/>
      <c r="Z79" s="940"/>
      <c r="AA79" s="940"/>
    </row>
    <row r="80" spans="1:27" s="965" customFormat="1" ht="19.5" customHeight="1" x14ac:dyDescent="0.3">
      <c r="A80" s="964"/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40"/>
      <c r="U80" s="940"/>
      <c r="V80" s="940"/>
      <c r="W80" s="940"/>
      <c r="X80" s="940"/>
      <c r="Y80" s="940"/>
      <c r="Z80" s="940"/>
      <c r="AA80" s="940"/>
    </row>
    <row r="81" spans="1:27" s="965" customFormat="1" ht="19.5" customHeight="1" x14ac:dyDescent="0.3">
      <c r="A81" s="964"/>
      <c r="B81" s="964"/>
      <c r="C81" s="964"/>
      <c r="D81" s="964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40"/>
      <c r="U81" s="940"/>
      <c r="V81" s="940"/>
      <c r="W81" s="940"/>
      <c r="X81" s="940"/>
      <c r="Y81" s="940"/>
      <c r="Z81" s="940"/>
      <c r="AA81" s="940"/>
    </row>
    <row r="82" spans="1:27" s="965" customFormat="1" ht="19.5" customHeight="1" x14ac:dyDescent="0.3">
      <c r="A82" s="964"/>
      <c r="B82" s="964"/>
      <c r="C82" s="964"/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40"/>
      <c r="U82" s="940"/>
      <c r="V82" s="940"/>
      <c r="W82" s="940"/>
      <c r="X82" s="940"/>
      <c r="Y82" s="940"/>
      <c r="Z82" s="940"/>
      <c r="AA82" s="940"/>
    </row>
    <row r="83" spans="1:27" s="965" customFormat="1" ht="19.5" customHeight="1" x14ac:dyDescent="0.3">
      <c r="A83" s="964"/>
      <c r="B83" s="964"/>
      <c r="C83" s="964"/>
      <c r="D83" s="964"/>
      <c r="E83" s="964"/>
      <c r="F83" s="964"/>
      <c r="G83" s="964"/>
      <c r="H83" s="964"/>
      <c r="I83" s="964"/>
      <c r="J83" s="964"/>
      <c r="K83" s="964"/>
      <c r="L83" s="964"/>
      <c r="M83" s="964"/>
      <c r="N83" s="964"/>
      <c r="O83" s="964"/>
      <c r="P83" s="964"/>
      <c r="Q83" s="964"/>
      <c r="R83" s="964"/>
      <c r="S83" s="964"/>
      <c r="T83" s="940"/>
      <c r="U83" s="940"/>
      <c r="V83" s="940"/>
      <c r="W83" s="940"/>
      <c r="X83" s="940"/>
      <c r="Y83" s="940"/>
      <c r="Z83" s="940"/>
      <c r="AA83" s="940"/>
    </row>
    <row r="84" spans="1:27" s="965" customFormat="1" ht="19.5" customHeight="1" x14ac:dyDescent="0.3">
      <c r="A84" s="964"/>
      <c r="B84" s="964"/>
      <c r="C84" s="964"/>
      <c r="D84" s="964"/>
      <c r="E84" s="964"/>
      <c r="F84" s="964"/>
      <c r="G84" s="964"/>
      <c r="H84" s="964"/>
      <c r="I84" s="964"/>
      <c r="J84" s="964"/>
      <c r="K84" s="964"/>
      <c r="L84" s="964"/>
      <c r="M84" s="964"/>
      <c r="N84" s="964"/>
      <c r="O84" s="964"/>
      <c r="P84" s="964"/>
      <c r="Q84" s="964"/>
      <c r="R84" s="964"/>
      <c r="S84" s="964"/>
      <c r="T84" s="940"/>
      <c r="U84" s="940"/>
      <c r="V84" s="940"/>
      <c r="W84" s="940"/>
      <c r="X84" s="940"/>
      <c r="Y84" s="940"/>
      <c r="Z84" s="940"/>
      <c r="AA84" s="940"/>
    </row>
    <row r="85" spans="1:27" s="965" customFormat="1" ht="19.5" customHeight="1" x14ac:dyDescent="0.3">
      <c r="A85" s="964"/>
      <c r="B85" s="964"/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40"/>
      <c r="U85" s="940"/>
      <c r="V85" s="940"/>
      <c r="W85" s="940"/>
      <c r="X85" s="940"/>
      <c r="Y85" s="940"/>
      <c r="Z85" s="940"/>
      <c r="AA85" s="940"/>
    </row>
    <row r="86" spans="1:27" s="965" customFormat="1" ht="19.5" customHeight="1" x14ac:dyDescent="0.3">
      <c r="A86" s="964"/>
      <c r="B86" s="964"/>
      <c r="C86" s="964"/>
      <c r="D86" s="964"/>
      <c r="E86" s="964"/>
      <c r="F86" s="964"/>
      <c r="G86" s="964"/>
      <c r="H86" s="964"/>
      <c r="I86" s="964"/>
      <c r="J86" s="964"/>
      <c r="K86" s="964"/>
      <c r="L86" s="964"/>
      <c r="M86" s="964"/>
      <c r="N86" s="964"/>
      <c r="O86" s="964"/>
      <c r="P86" s="964"/>
      <c r="Q86" s="964"/>
      <c r="R86" s="964"/>
      <c r="S86" s="964"/>
      <c r="T86" s="940"/>
      <c r="U86" s="940"/>
      <c r="V86" s="940"/>
      <c r="W86" s="940"/>
      <c r="X86" s="940"/>
      <c r="Y86" s="940"/>
      <c r="Z86" s="940"/>
      <c r="AA86" s="940"/>
    </row>
    <row r="87" spans="1:27" s="965" customFormat="1" ht="19.5" customHeight="1" x14ac:dyDescent="0.3">
      <c r="A87" s="964"/>
      <c r="B87" s="964"/>
      <c r="C87" s="964"/>
      <c r="D87" s="964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964"/>
      <c r="P87" s="964"/>
      <c r="Q87" s="964"/>
      <c r="R87" s="964"/>
      <c r="S87" s="964"/>
      <c r="T87" s="940"/>
      <c r="U87" s="940"/>
      <c r="V87" s="940"/>
      <c r="W87" s="940"/>
      <c r="X87" s="940"/>
      <c r="Y87" s="940"/>
      <c r="Z87" s="940"/>
      <c r="AA87" s="940"/>
    </row>
    <row r="88" spans="1:27" s="965" customFormat="1" ht="19.5" customHeight="1" x14ac:dyDescent="0.3">
      <c r="A88" s="964"/>
      <c r="B88" s="964"/>
      <c r="C88" s="964"/>
      <c r="D88" s="964"/>
      <c r="E88" s="964"/>
      <c r="F88" s="964"/>
      <c r="G88" s="964"/>
      <c r="H88" s="964"/>
      <c r="I88" s="964"/>
      <c r="J88" s="964"/>
      <c r="K88" s="964"/>
      <c r="L88" s="964"/>
      <c r="M88" s="964"/>
      <c r="N88" s="964"/>
      <c r="O88" s="964"/>
      <c r="P88" s="964"/>
      <c r="Q88" s="964"/>
      <c r="R88" s="964"/>
      <c r="S88" s="964"/>
      <c r="T88" s="940"/>
      <c r="U88" s="940"/>
      <c r="V88" s="940"/>
      <c r="W88" s="940"/>
      <c r="X88" s="940"/>
      <c r="Y88" s="940"/>
      <c r="Z88" s="940"/>
      <c r="AA88" s="940"/>
    </row>
    <row r="89" spans="1:27" ht="19.5" customHeight="1" x14ac:dyDescent="0.3">
      <c r="S89" s="940"/>
    </row>
    <row r="90" spans="1:27" ht="19.5" customHeight="1" x14ac:dyDescent="0.3">
      <c r="S90" s="940"/>
    </row>
  </sheetData>
  <mergeCells count="38">
    <mergeCell ref="R18:R19"/>
    <mergeCell ref="H6:H7"/>
    <mergeCell ref="L6:L7"/>
    <mergeCell ref="K16:L17"/>
    <mergeCell ref="M6:N7"/>
    <mergeCell ref="M16:M17"/>
    <mergeCell ref="M10:N11"/>
    <mergeCell ref="I11:K11"/>
    <mergeCell ref="H13:H14"/>
    <mergeCell ref="L13:L14"/>
    <mergeCell ref="M13:N14"/>
    <mergeCell ref="I14:K14"/>
    <mergeCell ref="L10:L11"/>
    <mergeCell ref="K18:M18"/>
    <mergeCell ref="O18:O19"/>
    <mergeCell ref="P18:Q19"/>
    <mergeCell ref="O16:O17"/>
    <mergeCell ref="P16:Q17"/>
    <mergeCell ref="R16:R17"/>
    <mergeCell ref="E17:F17"/>
    <mergeCell ref="H16:H17"/>
    <mergeCell ref="I16:I17"/>
    <mergeCell ref="D6:E6"/>
    <mergeCell ref="I6:K6"/>
    <mergeCell ref="I7:K8"/>
    <mergeCell ref="H10:H11"/>
    <mergeCell ref="I10:K10"/>
    <mergeCell ref="G7:G8"/>
    <mergeCell ref="I13:K13"/>
    <mergeCell ref="D8:E8"/>
    <mergeCell ref="K19:M19"/>
    <mergeCell ref="C18:D19"/>
    <mergeCell ref="E18:G18"/>
    <mergeCell ref="H18:H19"/>
    <mergeCell ref="I18:I19"/>
    <mergeCell ref="J18:J19"/>
    <mergeCell ref="C16:D17"/>
    <mergeCell ref="J16:J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/>
  <dimension ref="A1:AA90"/>
  <sheetViews>
    <sheetView workbookViewId="0">
      <selection activeCell="V18" sqref="V18"/>
    </sheetView>
  </sheetViews>
  <sheetFormatPr defaultColWidth="8.8984375" defaultRowHeight="19.5" customHeight="1" x14ac:dyDescent="0.3"/>
  <cols>
    <col min="1" max="1" width="2.69921875" style="940" customWidth="1"/>
    <col min="2" max="2" width="5" style="924" customWidth="1"/>
    <col min="3" max="3" width="2.8984375" style="924" customWidth="1"/>
    <col min="4" max="4" width="5.19921875" style="924" customWidth="1"/>
    <col min="5" max="5" width="6.09765625" style="924" customWidth="1"/>
    <col min="6" max="6" width="4.8984375" style="924" customWidth="1"/>
    <col min="7" max="7" width="6.09765625" style="924" customWidth="1"/>
    <col min="8" max="8" width="4.5" style="924" customWidth="1"/>
    <col min="9" max="9" width="4.8984375" style="924" customWidth="1"/>
    <col min="10" max="10" width="5.8984375" style="924" customWidth="1"/>
    <col min="11" max="11" width="5.19921875" style="924" customWidth="1"/>
    <col min="12" max="12" width="11.09765625" style="924" customWidth="1"/>
    <col min="13" max="13" width="10.69921875" style="924" customWidth="1"/>
    <col min="14" max="14" width="2.69921875" style="924" customWidth="1"/>
    <col min="15" max="15" width="8.8984375" style="924" customWidth="1"/>
    <col min="16" max="16" width="4.5" style="924" customWidth="1"/>
    <col min="17" max="17" width="9" style="924" customWidth="1"/>
    <col min="18" max="18" width="10.5" style="940" customWidth="1"/>
    <col min="19" max="19" width="2.3984375" style="924" customWidth="1"/>
    <col min="20" max="27" width="8.8984375" style="940"/>
    <col min="28" max="16384" width="8.8984375" style="924"/>
  </cols>
  <sheetData>
    <row r="1" spans="1:19" ht="19.5" customHeight="1" x14ac:dyDescent="0.3">
      <c r="A1" s="940" t="str">
        <f>Inicio!J6</f>
        <v>Estudante</v>
      </c>
      <c r="B1" s="940"/>
      <c r="C1" s="940"/>
      <c r="D1" s="940"/>
      <c r="E1" s="940" t="s">
        <v>256</v>
      </c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S1" s="940"/>
    </row>
    <row r="2" spans="1:19" ht="19.5" customHeight="1" x14ac:dyDescent="0.3">
      <c r="R2" s="963"/>
      <c r="S2" s="940"/>
    </row>
    <row r="3" spans="1:19" ht="19.5" customHeight="1" x14ac:dyDescent="0.3">
      <c r="R3" s="963"/>
      <c r="S3" s="940"/>
    </row>
    <row r="4" spans="1:19" ht="19.5" customHeight="1" thickBot="1" x14ac:dyDescent="0.35">
      <c r="R4" s="924"/>
      <c r="S4" s="940"/>
    </row>
    <row r="5" spans="1:19" ht="19.5" customHeight="1" thickBot="1" x14ac:dyDescent="0.4">
      <c r="B5" s="951" t="s">
        <v>334</v>
      </c>
      <c r="C5" s="952" t="s">
        <v>3</v>
      </c>
      <c r="D5" s="2078">
        <v>49.3</v>
      </c>
      <c r="E5" s="2079"/>
      <c r="F5" s="926" t="s">
        <v>278</v>
      </c>
      <c r="G5" s="925" t="s">
        <v>22</v>
      </c>
      <c r="H5" s="1713" t="s">
        <v>3</v>
      </c>
      <c r="I5" s="2052" t="s">
        <v>335</v>
      </c>
      <c r="J5" s="2052"/>
      <c r="K5" s="2052"/>
      <c r="L5" s="1713" t="s">
        <v>3</v>
      </c>
      <c r="M5" s="1713" t="s">
        <v>333</v>
      </c>
      <c r="N5" s="1713"/>
      <c r="O5" s="950"/>
      <c r="P5" s="950"/>
      <c r="Q5" s="950"/>
      <c r="R5" s="950"/>
      <c r="S5" s="940"/>
    </row>
    <row r="6" spans="1:19" ht="19.5" customHeight="1" thickBot="1" x14ac:dyDescent="0.4">
      <c r="B6" s="952"/>
      <c r="C6" s="952"/>
      <c r="D6" s="926"/>
      <c r="E6" s="926"/>
      <c r="F6" s="926"/>
      <c r="G6" s="2071">
        <f>D7</f>
        <v>5.4</v>
      </c>
      <c r="H6" s="1713"/>
      <c r="I6" s="2071" t="s">
        <v>301</v>
      </c>
      <c r="J6" s="2071"/>
      <c r="K6" s="2071"/>
      <c r="L6" s="1713"/>
      <c r="M6" s="1713"/>
      <c r="N6" s="1713"/>
      <c r="O6" s="950"/>
      <c r="P6" s="950"/>
      <c r="Q6" s="950"/>
      <c r="R6" s="950"/>
      <c r="S6" s="940"/>
    </row>
    <row r="7" spans="1:19" ht="19.5" customHeight="1" thickBot="1" x14ac:dyDescent="0.4">
      <c r="B7" s="962" t="s">
        <v>293</v>
      </c>
      <c r="C7" s="928" t="s">
        <v>3</v>
      </c>
      <c r="D7" s="2045">
        <v>5.4</v>
      </c>
      <c r="E7" s="2046"/>
      <c r="F7" s="926" t="s">
        <v>265</v>
      </c>
      <c r="G7" s="2072"/>
      <c r="H7" s="966"/>
      <c r="I7" s="2072"/>
      <c r="J7" s="2072"/>
      <c r="K7" s="2072"/>
      <c r="L7" s="950"/>
      <c r="M7" s="950"/>
      <c r="N7" s="950"/>
      <c r="O7" s="950"/>
      <c r="P7" s="950"/>
      <c r="Q7" s="950"/>
      <c r="R7" s="950"/>
      <c r="S7" s="940"/>
    </row>
    <row r="8" spans="1:19" ht="19.5" customHeight="1" x14ac:dyDescent="0.35">
      <c r="B8" s="953" t="s">
        <v>294</v>
      </c>
      <c r="C8" s="953"/>
      <c r="D8" s="954"/>
      <c r="E8" s="955">
        <f>90-D5</f>
        <v>40.700000000000003</v>
      </c>
      <c r="F8" s="955" t="s">
        <v>278</v>
      </c>
      <c r="G8" s="926"/>
      <c r="H8" s="926"/>
      <c r="I8" s="926"/>
      <c r="J8" s="926"/>
      <c r="K8" s="926"/>
      <c r="L8" s="926"/>
      <c r="M8" s="926"/>
      <c r="N8" s="926"/>
      <c r="O8" s="950"/>
      <c r="P8" s="950"/>
      <c r="Q8" s="950"/>
      <c r="R8" s="950"/>
      <c r="S8" s="940"/>
    </row>
    <row r="9" spans="1:19" ht="19.5" customHeight="1" x14ac:dyDescent="0.35">
      <c r="B9" s="950"/>
      <c r="C9" s="950"/>
      <c r="D9" s="950"/>
      <c r="E9" s="950"/>
      <c r="F9" s="950"/>
      <c r="G9" s="929" t="str">
        <f>B13</f>
        <v>y</v>
      </c>
      <c r="H9" s="1713" t="s">
        <v>3</v>
      </c>
      <c r="I9" s="2052" t="s">
        <v>336</v>
      </c>
      <c r="J9" s="2052"/>
      <c r="K9" s="2052"/>
      <c r="L9" s="1713" t="s">
        <v>3</v>
      </c>
      <c r="M9" s="1713" t="s">
        <v>337</v>
      </c>
      <c r="N9" s="1713"/>
      <c r="O9" s="950"/>
      <c r="P9" s="950"/>
      <c r="Q9" s="950"/>
      <c r="R9" s="950"/>
      <c r="S9" s="940"/>
    </row>
    <row r="10" spans="1:19" ht="19.5" customHeight="1" x14ac:dyDescent="0.35">
      <c r="B10" s="950"/>
      <c r="C10" s="950"/>
      <c r="D10" s="950"/>
      <c r="E10" s="950"/>
      <c r="F10" s="950"/>
      <c r="G10" s="927" t="str">
        <f>D15</f>
        <v>x</v>
      </c>
      <c r="H10" s="1713"/>
      <c r="I10" s="2053" t="s">
        <v>338</v>
      </c>
      <c r="J10" s="2047"/>
      <c r="K10" s="2047"/>
      <c r="L10" s="1713"/>
      <c r="M10" s="1713"/>
      <c r="N10" s="1713"/>
      <c r="O10" s="950"/>
      <c r="P10" s="950"/>
      <c r="Q10" s="950"/>
      <c r="R10" s="950"/>
      <c r="S10" s="940"/>
    </row>
    <row r="11" spans="1:19" ht="19.5" customHeight="1" x14ac:dyDescent="0.35">
      <c r="B11" s="950"/>
      <c r="C11" s="950"/>
      <c r="D11" s="930"/>
      <c r="E11" s="930"/>
      <c r="F11" s="930"/>
      <c r="G11" s="950"/>
      <c r="H11" s="950"/>
      <c r="I11" s="950"/>
      <c r="J11" s="950"/>
      <c r="K11" s="950"/>
      <c r="L11" s="926"/>
      <c r="M11" s="926"/>
      <c r="N11" s="926"/>
      <c r="O11" s="950"/>
      <c r="P11" s="950"/>
      <c r="Q11" s="950"/>
      <c r="R11" s="950"/>
      <c r="S11" s="940"/>
    </row>
    <row r="12" spans="1:19" ht="19.5" customHeight="1" x14ac:dyDescent="0.35">
      <c r="B12" s="956"/>
      <c r="C12" s="956"/>
      <c r="D12" s="930"/>
      <c r="E12" s="930"/>
      <c r="F12" s="930"/>
      <c r="G12" s="929" t="str">
        <f>B13</f>
        <v>y</v>
      </c>
      <c r="H12" s="1713" t="s">
        <v>3</v>
      </c>
      <c r="I12" s="2052" t="s">
        <v>336</v>
      </c>
      <c r="J12" s="2052"/>
      <c r="K12" s="2052"/>
      <c r="L12" s="1713" t="s">
        <v>3</v>
      </c>
      <c r="M12" s="1713" t="s">
        <v>339</v>
      </c>
      <c r="N12" s="1713"/>
      <c r="O12" s="950"/>
      <c r="P12" s="950"/>
      <c r="Q12" s="950"/>
      <c r="R12" s="950"/>
      <c r="S12" s="940"/>
    </row>
    <row r="13" spans="1:19" ht="19.5" customHeight="1" x14ac:dyDescent="0.35">
      <c r="B13" s="956" t="s">
        <v>292</v>
      </c>
      <c r="C13" s="956"/>
      <c r="D13" s="931">
        <f>D7</f>
        <v>5.4</v>
      </c>
      <c r="E13" s="932"/>
      <c r="F13" s="950"/>
      <c r="G13" s="931">
        <f>D13</f>
        <v>5.4</v>
      </c>
      <c r="H13" s="1713"/>
      <c r="I13" s="2070" t="s">
        <v>300</v>
      </c>
      <c r="J13" s="2070"/>
      <c r="K13" s="2070"/>
      <c r="L13" s="1713"/>
      <c r="M13" s="1713"/>
      <c r="N13" s="1713"/>
      <c r="O13" s="950"/>
      <c r="P13" s="950"/>
      <c r="Q13" s="950"/>
      <c r="R13" s="950"/>
      <c r="S13" s="940"/>
    </row>
    <row r="14" spans="1:19" ht="19.5" customHeight="1" x14ac:dyDescent="0.35">
      <c r="B14" s="956"/>
      <c r="C14" s="956"/>
      <c r="D14" s="926"/>
      <c r="E14" s="926"/>
      <c r="F14" s="926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40"/>
    </row>
    <row r="15" spans="1:19" ht="19.5" customHeight="1" thickBot="1" x14ac:dyDescent="0.4">
      <c r="B15" s="926"/>
      <c r="C15" s="950"/>
      <c r="D15" s="958" t="s">
        <v>22</v>
      </c>
      <c r="E15" s="957"/>
      <c r="F15" s="926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40"/>
    </row>
    <row r="16" spans="1:19" ht="19.5" customHeight="1" x14ac:dyDescent="0.35">
      <c r="B16" s="934" t="str">
        <f>D15</f>
        <v>x</v>
      </c>
      <c r="C16" s="2073" t="s">
        <v>3</v>
      </c>
      <c r="D16" s="2073"/>
      <c r="E16" s="959" t="str">
        <f>CONCATENATE("cos(",D5,"°)")</f>
        <v>cos(49,3°)</v>
      </c>
      <c r="F16" s="959"/>
      <c r="G16" s="960"/>
      <c r="H16" s="2028" t="s">
        <v>289</v>
      </c>
      <c r="I16" s="2058" t="s">
        <v>22</v>
      </c>
      <c r="J16" s="2096" t="s">
        <v>3</v>
      </c>
      <c r="K16" s="2026" t="str">
        <f>CONCATENATE(B17, " *",E16)</f>
        <v>5,4 *cos(49,3°)</v>
      </c>
      <c r="L16" s="2026"/>
      <c r="M16" s="2026" t="s">
        <v>3</v>
      </c>
      <c r="N16" s="2108" t="str">
        <f>CONCATENATE(B17,"x",ROUND(COS(D5/180*PI()),3)," = ")</f>
        <v xml:space="preserve">5,4x0,652 = </v>
      </c>
      <c r="O16" s="2108"/>
      <c r="P16" s="2104">
        <f>B17*ROUND(COS(D5/180*PI()),4)</f>
        <v>3.5213400000000004</v>
      </c>
      <c r="Q16" s="2104"/>
      <c r="R16" s="2106"/>
      <c r="S16" s="940"/>
    </row>
    <row r="17" spans="2:19" ht="19.5" customHeight="1" thickBot="1" x14ac:dyDescent="0.4">
      <c r="B17" s="970">
        <f>D13</f>
        <v>5.4</v>
      </c>
      <c r="C17" s="2077"/>
      <c r="D17" s="2077"/>
      <c r="E17" s="2077">
        <v>1</v>
      </c>
      <c r="F17" s="2077"/>
      <c r="G17" s="944"/>
      <c r="H17" s="2029"/>
      <c r="I17" s="2102"/>
      <c r="J17" s="2097"/>
      <c r="K17" s="2027"/>
      <c r="L17" s="2027"/>
      <c r="M17" s="2027"/>
      <c r="N17" s="2109"/>
      <c r="O17" s="2109"/>
      <c r="P17" s="2029"/>
      <c r="Q17" s="2029"/>
      <c r="R17" s="2107"/>
      <c r="S17" s="940"/>
    </row>
    <row r="18" spans="2:19" ht="19.5" customHeight="1" x14ac:dyDescent="0.35">
      <c r="B18" s="934" t="str">
        <f>B13</f>
        <v>y</v>
      </c>
      <c r="C18" s="2073" t="s">
        <v>3</v>
      </c>
      <c r="D18" s="2073" t="s">
        <v>3</v>
      </c>
      <c r="E18" s="2088" t="str">
        <f>CONCATENATE("sen(",D5,"°)")</f>
        <v>sen(49,3°)</v>
      </c>
      <c r="F18" s="2088"/>
      <c r="G18" s="2088"/>
      <c r="H18" s="2096" t="s">
        <v>289</v>
      </c>
      <c r="I18" s="2094" t="str">
        <f>B18</f>
        <v>y</v>
      </c>
      <c r="J18" s="2026" t="str">
        <f>C18</f>
        <v>=</v>
      </c>
      <c r="K18" s="2026" t="str">
        <f>CONCATENATE(B19, " *",E18)</f>
        <v>5,4 *sen(49,3°)</v>
      </c>
      <c r="L18" s="2026"/>
      <c r="M18" s="2026" t="s">
        <v>3</v>
      </c>
      <c r="N18" s="2108" t="str">
        <f>CONCATENATE(B19,"x",ROUND(SIN(D5/180*PI()),3)," = ")</f>
        <v xml:space="preserve">5,4x0,758 = </v>
      </c>
      <c r="O18" s="2108"/>
      <c r="P18" s="2104">
        <f>B19*ROUND(SIN(D5/180*PI()),4)</f>
        <v>4.0937400000000004</v>
      </c>
      <c r="Q18" s="2104"/>
      <c r="R18" s="2104"/>
      <c r="S18" s="940"/>
    </row>
    <row r="19" spans="2:19" ht="19.5" customHeight="1" thickBot="1" x14ac:dyDescent="0.4">
      <c r="B19" s="938">
        <f>D13</f>
        <v>5.4</v>
      </c>
      <c r="C19" s="2077"/>
      <c r="D19" s="2077"/>
      <c r="E19" s="944"/>
      <c r="F19" s="944">
        <v>1</v>
      </c>
      <c r="G19" s="944"/>
      <c r="H19" s="2097"/>
      <c r="I19" s="2095"/>
      <c r="J19" s="2027"/>
      <c r="K19" s="2027"/>
      <c r="L19" s="2027"/>
      <c r="M19" s="2027"/>
      <c r="N19" s="2109"/>
      <c r="O19" s="2109"/>
      <c r="P19" s="2029"/>
      <c r="Q19" s="2029"/>
      <c r="R19" s="2029"/>
      <c r="S19" s="940"/>
    </row>
    <row r="20" spans="2:19" ht="19.5" customHeight="1" x14ac:dyDescent="0.3">
      <c r="B20" s="940"/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S20" s="940"/>
    </row>
    <row r="21" spans="2:19" s="940" customFormat="1" ht="19.5" customHeight="1" x14ac:dyDescent="0.3"/>
    <row r="22" spans="2:19" s="940" customFormat="1" ht="19.5" customHeight="1" x14ac:dyDescent="0.3"/>
    <row r="23" spans="2:19" s="940" customFormat="1" ht="19.5" customHeight="1" x14ac:dyDescent="0.3"/>
    <row r="24" spans="2:19" s="940" customFormat="1" ht="19.5" customHeight="1" x14ac:dyDescent="0.3"/>
    <row r="25" spans="2:19" s="940" customFormat="1" ht="19.5" customHeight="1" x14ac:dyDescent="0.3"/>
    <row r="26" spans="2:19" s="940" customFormat="1" ht="19.5" customHeight="1" x14ac:dyDescent="0.3"/>
    <row r="27" spans="2:19" s="940" customFormat="1" ht="19.5" customHeight="1" x14ac:dyDescent="0.3"/>
    <row r="28" spans="2:19" s="940" customFormat="1" ht="19.5" customHeight="1" x14ac:dyDescent="0.3"/>
    <row r="29" spans="2:19" s="940" customFormat="1" ht="19.5" customHeight="1" x14ac:dyDescent="0.3"/>
    <row r="30" spans="2:19" s="940" customFormat="1" ht="19.5" customHeight="1" x14ac:dyDescent="0.3"/>
    <row r="31" spans="2:19" s="940" customFormat="1" ht="18" x14ac:dyDescent="0.3"/>
    <row r="32" spans="2:19" s="940" customFormat="1" ht="18" x14ac:dyDescent="0.3"/>
    <row r="33" s="940" customFormat="1" ht="18" x14ac:dyDescent="0.3"/>
    <row r="34" s="940" customFormat="1" ht="18" x14ac:dyDescent="0.3"/>
    <row r="35" s="940" customFormat="1" ht="18" x14ac:dyDescent="0.3"/>
    <row r="36" s="940" customFormat="1" ht="18" x14ac:dyDescent="0.3"/>
    <row r="37" s="940" customFormat="1" ht="18" x14ac:dyDescent="0.3"/>
    <row r="38" s="940" customFormat="1" ht="18" x14ac:dyDescent="0.3"/>
    <row r="39" s="940" customFormat="1" ht="18" x14ac:dyDescent="0.3"/>
    <row r="40" s="940" customFormat="1" ht="18" x14ac:dyDescent="0.3"/>
    <row r="41" s="940" customFormat="1" ht="18" x14ac:dyDescent="0.3"/>
    <row r="42" s="940" customFormat="1" ht="18" x14ac:dyDescent="0.3"/>
    <row r="43" s="940" customFormat="1" ht="18" x14ac:dyDescent="0.3"/>
    <row r="44" s="940" customFormat="1" ht="18" x14ac:dyDescent="0.3"/>
    <row r="45" s="940" customFormat="1" ht="18" x14ac:dyDescent="0.3"/>
    <row r="46" s="940" customFormat="1" ht="18" x14ac:dyDescent="0.3"/>
    <row r="47" s="940" customFormat="1" ht="18" x14ac:dyDescent="0.3"/>
    <row r="48" s="940" customFormat="1" ht="18" x14ac:dyDescent="0.3"/>
    <row r="49" spans="1:27" s="940" customFormat="1" ht="18" x14ac:dyDescent="0.3"/>
    <row r="50" spans="1:27" s="940" customFormat="1" ht="18" x14ac:dyDescent="0.3"/>
    <row r="51" spans="1:27" s="940" customFormat="1" ht="18" x14ac:dyDescent="0.3"/>
    <row r="52" spans="1:27" s="940" customFormat="1" ht="18" x14ac:dyDescent="0.3"/>
    <row r="53" spans="1:27" s="940" customFormat="1" ht="18" x14ac:dyDescent="0.3"/>
    <row r="54" spans="1:27" s="940" customFormat="1" ht="18" x14ac:dyDescent="0.3"/>
    <row r="55" spans="1:27" s="940" customFormat="1" ht="18" x14ac:dyDescent="0.3"/>
    <row r="56" spans="1:27" s="940" customFormat="1" ht="18" x14ac:dyDescent="0.3"/>
    <row r="57" spans="1:27" s="940" customFormat="1" ht="18" x14ac:dyDescent="0.3"/>
    <row r="58" spans="1:27" s="940" customFormat="1" ht="18" x14ac:dyDescent="0.3"/>
    <row r="59" spans="1:27" s="940" customFormat="1" ht="18" x14ac:dyDescent="0.3"/>
    <row r="60" spans="1:27" s="940" customFormat="1" ht="18" x14ac:dyDescent="0.3"/>
    <row r="61" spans="1:27" s="940" customFormat="1" ht="18" x14ac:dyDescent="0.3"/>
    <row r="62" spans="1:27" s="940" customFormat="1" ht="18" x14ac:dyDescent="0.3"/>
    <row r="63" spans="1:27" s="940" customFormat="1" ht="19.5" customHeight="1" x14ac:dyDescent="0.3"/>
    <row r="64" spans="1:27" s="965" customFormat="1" ht="19.5" customHeight="1" x14ac:dyDescent="0.3">
      <c r="A64" s="964"/>
      <c r="B64" s="964"/>
      <c r="C64" s="964"/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40"/>
      <c r="U64" s="940"/>
      <c r="V64" s="940"/>
      <c r="W64" s="940"/>
      <c r="X64" s="940"/>
      <c r="Y64" s="940"/>
      <c r="Z64" s="940"/>
      <c r="AA64" s="940"/>
    </row>
    <row r="65" spans="1:27" s="965" customFormat="1" ht="19.5" customHeight="1" x14ac:dyDescent="0.3">
      <c r="A65" s="964"/>
      <c r="B65" s="964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40"/>
      <c r="U65" s="940"/>
      <c r="V65" s="940"/>
      <c r="W65" s="940"/>
      <c r="X65" s="940"/>
      <c r="Y65" s="940"/>
      <c r="Z65" s="940"/>
      <c r="AA65" s="940"/>
    </row>
    <row r="66" spans="1:27" s="965" customFormat="1" ht="19.5" customHeight="1" x14ac:dyDescent="0.3">
      <c r="A66" s="964"/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40"/>
      <c r="U66" s="940"/>
      <c r="V66" s="940"/>
      <c r="W66" s="940"/>
      <c r="X66" s="940"/>
      <c r="Y66" s="940"/>
      <c r="Z66" s="940"/>
      <c r="AA66" s="940"/>
    </row>
    <row r="67" spans="1:27" s="965" customFormat="1" ht="19.5" customHeight="1" x14ac:dyDescent="0.3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40"/>
      <c r="U67" s="940"/>
      <c r="V67" s="940"/>
      <c r="W67" s="940"/>
      <c r="X67" s="940"/>
      <c r="Y67" s="940"/>
      <c r="Z67" s="940"/>
      <c r="AA67" s="940"/>
    </row>
    <row r="68" spans="1:27" s="965" customFormat="1" ht="19.5" customHeight="1" x14ac:dyDescent="0.3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40"/>
      <c r="U68" s="940"/>
      <c r="V68" s="940"/>
      <c r="W68" s="940"/>
      <c r="X68" s="940"/>
      <c r="Y68" s="940"/>
      <c r="Z68" s="940"/>
      <c r="AA68" s="940"/>
    </row>
    <row r="69" spans="1:27" s="965" customFormat="1" ht="19.5" customHeight="1" x14ac:dyDescent="0.3">
      <c r="A69" s="964"/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40"/>
      <c r="U69" s="940"/>
      <c r="V69" s="940"/>
      <c r="W69" s="940"/>
      <c r="X69" s="940"/>
      <c r="Y69" s="940"/>
      <c r="Z69" s="940"/>
      <c r="AA69" s="940"/>
    </row>
    <row r="70" spans="1:27" s="965" customFormat="1" ht="19.5" customHeight="1" x14ac:dyDescent="0.3">
      <c r="A70" s="964"/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40"/>
      <c r="U70" s="940"/>
      <c r="V70" s="940"/>
      <c r="W70" s="940"/>
      <c r="X70" s="940"/>
      <c r="Y70" s="940"/>
      <c r="Z70" s="940"/>
      <c r="AA70" s="940"/>
    </row>
    <row r="71" spans="1:27" s="965" customFormat="1" ht="19.5" customHeight="1" x14ac:dyDescent="0.3">
      <c r="A71" s="964"/>
      <c r="B71" s="964"/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40"/>
      <c r="U71" s="940"/>
      <c r="V71" s="940"/>
      <c r="W71" s="940"/>
      <c r="X71" s="940"/>
      <c r="Y71" s="940"/>
      <c r="Z71" s="940"/>
      <c r="AA71" s="940"/>
    </row>
    <row r="72" spans="1:27" s="965" customFormat="1" ht="19.5" customHeight="1" x14ac:dyDescent="0.3">
      <c r="A72" s="964"/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40"/>
      <c r="U72" s="940"/>
      <c r="V72" s="940"/>
      <c r="W72" s="940"/>
      <c r="X72" s="940"/>
      <c r="Y72" s="940"/>
      <c r="Z72" s="940"/>
      <c r="AA72" s="940"/>
    </row>
    <row r="73" spans="1:27" s="965" customFormat="1" ht="19.5" customHeight="1" x14ac:dyDescent="0.3">
      <c r="A73" s="964"/>
      <c r="B73" s="964"/>
      <c r="C73" s="964"/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  <c r="O73" s="964"/>
      <c r="P73" s="964"/>
      <c r="Q73" s="964"/>
      <c r="R73" s="964"/>
      <c r="S73" s="964"/>
      <c r="T73" s="940"/>
      <c r="U73" s="940"/>
      <c r="V73" s="940"/>
      <c r="W73" s="940"/>
      <c r="X73" s="940"/>
      <c r="Y73" s="940"/>
      <c r="Z73" s="940"/>
      <c r="AA73" s="940"/>
    </row>
    <row r="74" spans="1:27" s="965" customFormat="1" ht="19.5" customHeight="1" x14ac:dyDescent="0.3">
      <c r="A74" s="964"/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40"/>
      <c r="U74" s="940"/>
      <c r="V74" s="940"/>
      <c r="W74" s="940"/>
      <c r="X74" s="940"/>
      <c r="Y74" s="940"/>
      <c r="Z74" s="940"/>
      <c r="AA74" s="940"/>
    </row>
    <row r="75" spans="1:27" s="965" customFormat="1" ht="19.5" customHeight="1" x14ac:dyDescent="0.3">
      <c r="A75" s="964"/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4"/>
      <c r="R75" s="964"/>
      <c r="S75" s="964"/>
      <c r="T75" s="940"/>
      <c r="U75" s="940"/>
      <c r="V75" s="940"/>
      <c r="W75" s="940"/>
      <c r="X75" s="940"/>
      <c r="Y75" s="940"/>
      <c r="Z75" s="940"/>
      <c r="AA75" s="940"/>
    </row>
    <row r="76" spans="1:27" s="965" customFormat="1" ht="19.5" customHeight="1" x14ac:dyDescent="0.3">
      <c r="A76" s="964"/>
      <c r="B76" s="964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40"/>
      <c r="U76" s="940"/>
      <c r="V76" s="940"/>
      <c r="W76" s="940"/>
      <c r="X76" s="940"/>
      <c r="Y76" s="940"/>
      <c r="Z76" s="940"/>
      <c r="AA76" s="940"/>
    </row>
    <row r="77" spans="1:27" s="965" customFormat="1" ht="19.5" customHeight="1" x14ac:dyDescent="0.3">
      <c r="A77" s="964"/>
      <c r="B77" s="964"/>
      <c r="C77" s="964"/>
      <c r="D77" s="964"/>
      <c r="E77" s="964"/>
      <c r="F77" s="964"/>
      <c r="G77" s="964"/>
      <c r="H77" s="964"/>
      <c r="I77" s="964"/>
      <c r="J77" s="964"/>
      <c r="K77" s="964"/>
      <c r="L77" s="964"/>
      <c r="M77" s="964"/>
      <c r="N77" s="964"/>
      <c r="O77" s="964"/>
      <c r="P77" s="964"/>
      <c r="Q77" s="964"/>
      <c r="R77" s="964"/>
      <c r="S77" s="964"/>
      <c r="T77" s="940"/>
      <c r="U77" s="940"/>
      <c r="V77" s="940"/>
      <c r="W77" s="940"/>
      <c r="X77" s="940"/>
      <c r="Y77" s="940"/>
      <c r="Z77" s="940"/>
      <c r="AA77" s="940"/>
    </row>
    <row r="78" spans="1:27" s="965" customFormat="1" ht="19.5" customHeight="1" x14ac:dyDescent="0.3">
      <c r="A78" s="964"/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40"/>
      <c r="U78" s="940"/>
      <c r="V78" s="940"/>
      <c r="W78" s="940"/>
      <c r="X78" s="940"/>
      <c r="Y78" s="940"/>
      <c r="Z78" s="940"/>
      <c r="AA78" s="940"/>
    </row>
    <row r="79" spans="1:27" s="965" customFormat="1" ht="19.5" customHeight="1" x14ac:dyDescent="0.3">
      <c r="A79" s="964"/>
      <c r="B79" s="964"/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40"/>
      <c r="U79" s="940"/>
      <c r="V79" s="940"/>
      <c r="W79" s="940"/>
      <c r="X79" s="940"/>
      <c r="Y79" s="940"/>
      <c r="Z79" s="940"/>
      <c r="AA79" s="940"/>
    </row>
    <row r="80" spans="1:27" s="965" customFormat="1" ht="19.5" customHeight="1" x14ac:dyDescent="0.3">
      <c r="A80" s="964"/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40"/>
      <c r="U80" s="940"/>
      <c r="V80" s="940"/>
      <c r="W80" s="940"/>
      <c r="X80" s="940"/>
      <c r="Y80" s="940"/>
      <c r="Z80" s="940"/>
      <c r="AA80" s="940"/>
    </row>
    <row r="81" spans="1:27" s="965" customFormat="1" ht="19.5" customHeight="1" x14ac:dyDescent="0.3">
      <c r="A81" s="964"/>
      <c r="B81" s="964"/>
      <c r="C81" s="964"/>
      <c r="D81" s="964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40"/>
      <c r="U81" s="940"/>
      <c r="V81" s="940"/>
      <c r="W81" s="940"/>
      <c r="X81" s="940"/>
      <c r="Y81" s="940"/>
      <c r="Z81" s="940"/>
      <c r="AA81" s="940"/>
    </row>
    <row r="82" spans="1:27" s="965" customFormat="1" ht="19.5" customHeight="1" x14ac:dyDescent="0.3">
      <c r="A82" s="964"/>
      <c r="B82" s="964"/>
      <c r="C82" s="964"/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40"/>
      <c r="U82" s="940"/>
      <c r="V82" s="940"/>
      <c r="W82" s="940"/>
      <c r="X82" s="940"/>
      <c r="Y82" s="940"/>
      <c r="Z82" s="940"/>
      <c r="AA82" s="940"/>
    </row>
    <row r="83" spans="1:27" s="965" customFormat="1" ht="19.5" customHeight="1" x14ac:dyDescent="0.3">
      <c r="A83" s="964"/>
      <c r="B83" s="964"/>
      <c r="C83" s="964"/>
      <c r="D83" s="964"/>
      <c r="E83" s="964"/>
      <c r="F83" s="964"/>
      <c r="G83" s="964"/>
      <c r="H83" s="964"/>
      <c r="I83" s="964"/>
      <c r="J83" s="964"/>
      <c r="K83" s="964"/>
      <c r="L83" s="964"/>
      <c r="M83" s="964"/>
      <c r="N83" s="964"/>
      <c r="O83" s="964"/>
      <c r="P83" s="964"/>
      <c r="Q83" s="964"/>
      <c r="R83" s="964"/>
      <c r="S83" s="964"/>
      <c r="T83" s="940"/>
      <c r="U83" s="940"/>
      <c r="V83" s="940"/>
      <c r="W83" s="940"/>
      <c r="X83" s="940"/>
      <c r="Y83" s="940"/>
      <c r="Z83" s="940"/>
      <c r="AA83" s="940"/>
    </row>
    <row r="84" spans="1:27" s="965" customFormat="1" ht="19.5" customHeight="1" x14ac:dyDescent="0.3">
      <c r="A84" s="964"/>
      <c r="B84" s="964"/>
      <c r="C84" s="964"/>
      <c r="D84" s="964"/>
      <c r="E84" s="964"/>
      <c r="F84" s="964"/>
      <c r="G84" s="964"/>
      <c r="H84" s="964"/>
      <c r="I84" s="964"/>
      <c r="J84" s="964"/>
      <c r="K84" s="964"/>
      <c r="L84" s="964"/>
      <c r="M84" s="964"/>
      <c r="N84" s="964"/>
      <c r="O84" s="964"/>
      <c r="P84" s="964"/>
      <c r="Q84" s="964"/>
      <c r="R84" s="964"/>
      <c r="S84" s="964"/>
      <c r="T84" s="940"/>
      <c r="U84" s="940"/>
      <c r="V84" s="940"/>
      <c r="W84" s="940"/>
      <c r="X84" s="940"/>
      <c r="Y84" s="940"/>
      <c r="Z84" s="940"/>
      <c r="AA84" s="940"/>
    </row>
    <row r="85" spans="1:27" s="965" customFormat="1" ht="19.5" customHeight="1" x14ac:dyDescent="0.3">
      <c r="A85" s="964"/>
      <c r="B85" s="964"/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40"/>
      <c r="U85" s="940"/>
      <c r="V85" s="940"/>
      <c r="W85" s="940"/>
      <c r="X85" s="940"/>
      <c r="Y85" s="940"/>
      <c r="Z85" s="940"/>
      <c r="AA85" s="940"/>
    </row>
    <row r="86" spans="1:27" s="965" customFormat="1" ht="19.5" customHeight="1" x14ac:dyDescent="0.3">
      <c r="A86" s="964"/>
      <c r="B86" s="964"/>
      <c r="C86" s="964"/>
      <c r="D86" s="964"/>
      <c r="E86" s="964"/>
      <c r="F86" s="964"/>
      <c r="G86" s="964"/>
      <c r="H86" s="964"/>
      <c r="I86" s="964"/>
      <c r="J86" s="964"/>
      <c r="K86" s="964"/>
      <c r="L86" s="964"/>
      <c r="M86" s="964"/>
      <c r="N86" s="964"/>
      <c r="O86" s="964"/>
      <c r="P86" s="964"/>
      <c r="Q86" s="964"/>
      <c r="R86" s="964"/>
      <c r="S86" s="964"/>
      <c r="T86" s="940"/>
      <c r="U86" s="940"/>
      <c r="V86" s="940"/>
      <c r="W86" s="940"/>
      <c r="X86" s="940"/>
      <c r="Y86" s="940"/>
      <c r="Z86" s="940"/>
      <c r="AA86" s="940"/>
    </row>
    <row r="87" spans="1:27" s="965" customFormat="1" ht="19.5" customHeight="1" x14ac:dyDescent="0.3">
      <c r="A87" s="964"/>
      <c r="B87" s="964"/>
      <c r="C87" s="964"/>
      <c r="D87" s="964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964"/>
      <c r="P87" s="964"/>
      <c r="Q87" s="964"/>
      <c r="R87" s="964"/>
      <c r="S87" s="964"/>
      <c r="T87" s="940"/>
      <c r="U87" s="940"/>
      <c r="V87" s="940"/>
      <c r="W87" s="940"/>
      <c r="X87" s="940"/>
      <c r="Y87" s="940"/>
      <c r="Z87" s="940"/>
      <c r="AA87" s="940"/>
    </row>
    <row r="88" spans="1:27" s="965" customFormat="1" ht="19.5" customHeight="1" x14ac:dyDescent="0.3">
      <c r="A88" s="964"/>
      <c r="B88" s="964"/>
      <c r="C88" s="964"/>
      <c r="D88" s="964"/>
      <c r="E88" s="964"/>
      <c r="F88" s="964"/>
      <c r="G88" s="964"/>
      <c r="H88" s="964"/>
      <c r="I88" s="964"/>
      <c r="J88" s="964"/>
      <c r="K88" s="964"/>
      <c r="L88" s="964"/>
      <c r="M88" s="964"/>
      <c r="N88" s="964"/>
      <c r="O88" s="964"/>
      <c r="P88" s="964"/>
      <c r="Q88" s="964"/>
      <c r="R88" s="964"/>
      <c r="S88" s="964"/>
      <c r="T88" s="940"/>
      <c r="U88" s="940"/>
      <c r="V88" s="940"/>
      <c r="W88" s="940"/>
      <c r="X88" s="940"/>
      <c r="Y88" s="940"/>
      <c r="Z88" s="940"/>
      <c r="AA88" s="940"/>
    </row>
    <row r="89" spans="1:27" ht="19.5" customHeight="1" x14ac:dyDescent="0.3">
      <c r="S89" s="940"/>
    </row>
    <row r="90" spans="1:27" ht="19.5" customHeight="1" x14ac:dyDescent="0.3">
      <c r="S90" s="940"/>
    </row>
  </sheetData>
  <mergeCells count="36">
    <mergeCell ref="P16:R17"/>
    <mergeCell ref="K18:L19"/>
    <mergeCell ref="M18:M19"/>
    <mergeCell ref="N18:O19"/>
    <mergeCell ref="P18:R19"/>
    <mergeCell ref="K16:L17"/>
    <mergeCell ref="M16:M17"/>
    <mergeCell ref="N16:O17"/>
    <mergeCell ref="L9:L10"/>
    <mergeCell ref="M9:N10"/>
    <mergeCell ref="I10:K10"/>
    <mergeCell ref="H12:H13"/>
    <mergeCell ref="L12:L13"/>
    <mergeCell ref="M12:N13"/>
    <mergeCell ref="I13:K13"/>
    <mergeCell ref="H9:H10"/>
    <mergeCell ref="I9:K9"/>
    <mergeCell ref="D5:E5"/>
    <mergeCell ref="H5:H6"/>
    <mergeCell ref="I5:K5"/>
    <mergeCell ref="L5:L6"/>
    <mergeCell ref="M5:N6"/>
    <mergeCell ref="G6:G7"/>
    <mergeCell ref="I6:K7"/>
    <mergeCell ref="D7:E7"/>
    <mergeCell ref="C18:D19"/>
    <mergeCell ref="E18:G18"/>
    <mergeCell ref="H18:H19"/>
    <mergeCell ref="I18:I19"/>
    <mergeCell ref="J18:J19"/>
    <mergeCell ref="C16:D17"/>
    <mergeCell ref="H16:H17"/>
    <mergeCell ref="I16:I17"/>
    <mergeCell ref="J16:J17"/>
    <mergeCell ref="I12:K12"/>
    <mergeCell ref="E17:F17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/>
  <dimension ref="A1:W23"/>
  <sheetViews>
    <sheetView workbookViewId="0">
      <selection activeCell="Y7" sqref="Y7"/>
    </sheetView>
  </sheetViews>
  <sheetFormatPr defaultColWidth="8.8984375" defaultRowHeight="21" customHeight="1" x14ac:dyDescent="0.45"/>
  <cols>
    <col min="1" max="1" width="2.69921875" style="783" customWidth="1"/>
    <col min="2" max="2" width="6.09765625" style="705" customWidth="1"/>
    <col min="3" max="3" width="2.8984375" style="705" customWidth="1"/>
    <col min="4" max="4" width="5.19921875" style="705" customWidth="1"/>
    <col min="5" max="5" width="6.5" style="705" customWidth="1"/>
    <col min="6" max="6" width="4.8984375" style="705" customWidth="1"/>
    <col min="7" max="7" width="6.09765625" style="705" customWidth="1"/>
    <col min="8" max="8" width="4.5" style="705" customWidth="1"/>
    <col min="9" max="9" width="4.8984375" style="705" customWidth="1"/>
    <col min="10" max="10" width="5.8984375" style="705" customWidth="1"/>
    <col min="11" max="11" width="5.19921875" style="705" customWidth="1"/>
    <col min="12" max="12" width="3.09765625" style="705" customWidth="1"/>
    <col min="13" max="13" width="6" style="705" customWidth="1"/>
    <col min="14" max="14" width="3.3984375" style="705" customWidth="1"/>
    <col min="15" max="15" width="2.59765625" style="705" customWidth="1"/>
    <col min="16" max="16" width="6.09765625" style="705" customWidth="1"/>
    <col min="17" max="17" width="5.3984375" style="705" customWidth="1"/>
    <col min="18" max="18" width="12" style="705" customWidth="1"/>
    <col min="19" max="19" width="2.8984375" style="783" customWidth="1"/>
    <col min="20" max="16384" width="8.8984375" style="705"/>
  </cols>
  <sheetData>
    <row r="1" spans="1:23" s="950" customFormat="1" ht="21" customHeight="1" x14ac:dyDescent="0.35">
      <c r="A1" s="923" t="str">
        <f>Inicio!J6</f>
        <v>Estudante</v>
      </c>
      <c r="B1" s="923"/>
      <c r="C1" s="923"/>
      <c r="D1" s="923"/>
      <c r="E1" s="923" t="s">
        <v>256</v>
      </c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1088"/>
      <c r="U1" s="1088"/>
      <c r="V1" s="1088"/>
      <c r="W1" s="1088"/>
    </row>
    <row r="5" spans="1:23" s="950" customFormat="1" ht="14.25" customHeight="1" thickBot="1" x14ac:dyDescent="0.4">
      <c r="A5" s="923"/>
      <c r="H5" s="961"/>
      <c r="L5" s="1713" t="s">
        <v>3</v>
      </c>
      <c r="M5" s="1713" t="s">
        <v>333</v>
      </c>
      <c r="N5" s="1713"/>
      <c r="S5" s="923"/>
    </row>
    <row r="6" spans="1:23" s="950" customFormat="1" ht="18" customHeight="1" thickBot="1" x14ac:dyDescent="0.4">
      <c r="A6" s="923"/>
      <c r="B6" s="951" t="s">
        <v>340</v>
      </c>
      <c r="C6" s="952" t="s">
        <v>3</v>
      </c>
      <c r="D6" s="2078">
        <v>43.9</v>
      </c>
      <c r="E6" s="2079"/>
      <c r="F6" s="926" t="s">
        <v>278</v>
      </c>
      <c r="G6" s="925" t="str">
        <f>B14</f>
        <v>y</v>
      </c>
      <c r="H6" s="1713" t="s">
        <v>3</v>
      </c>
      <c r="I6" s="2052" t="s">
        <v>341</v>
      </c>
      <c r="J6" s="2052"/>
      <c r="K6" s="2052"/>
      <c r="L6" s="1713"/>
      <c r="M6" s="1713"/>
      <c r="N6" s="1713"/>
      <c r="S6" s="923"/>
    </row>
    <row r="7" spans="1:23" s="950" customFormat="1" ht="14.25" customHeight="1" thickBot="1" x14ac:dyDescent="0.4">
      <c r="A7" s="923"/>
      <c r="B7" s="952"/>
      <c r="C7" s="952"/>
      <c r="D7" s="926"/>
      <c r="E7" s="926"/>
      <c r="F7" s="926"/>
      <c r="G7" s="2087" t="str">
        <f>D14</f>
        <v>z</v>
      </c>
      <c r="H7" s="1713"/>
      <c r="I7" s="2071" t="s">
        <v>301</v>
      </c>
      <c r="J7" s="2071"/>
      <c r="K7" s="2071"/>
      <c r="L7" s="1713"/>
      <c r="M7" s="1713"/>
      <c r="N7" s="1713"/>
      <c r="S7" s="923"/>
    </row>
    <row r="8" spans="1:23" s="950" customFormat="1" ht="14.25" customHeight="1" thickBot="1" x14ac:dyDescent="0.4">
      <c r="A8" s="923"/>
      <c r="B8" s="927" t="s">
        <v>22</v>
      </c>
      <c r="C8" s="928" t="s">
        <v>3</v>
      </c>
      <c r="D8" s="2048">
        <v>14.8</v>
      </c>
      <c r="E8" s="2049"/>
      <c r="F8" s="926" t="s">
        <v>265</v>
      </c>
      <c r="G8" s="2070"/>
      <c r="H8" s="961"/>
      <c r="I8" s="2072"/>
      <c r="J8" s="2072"/>
      <c r="K8" s="2072"/>
      <c r="L8" s="1713"/>
      <c r="M8" s="1713"/>
      <c r="N8" s="1713"/>
      <c r="S8" s="923"/>
    </row>
    <row r="9" spans="1:23" s="950" customFormat="1" ht="13.5" customHeight="1" x14ac:dyDescent="0.35">
      <c r="A9" s="923"/>
      <c r="B9" s="953" t="s">
        <v>440</v>
      </c>
      <c r="C9" s="953"/>
      <c r="D9" s="954"/>
      <c r="E9" s="955">
        <f>90-D6</f>
        <v>46.1</v>
      </c>
      <c r="F9" s="955" t="s">
        <v>278</v>
      </c>
      <c r="G9" s="926"/>
      <c r="H9" s="933"/>
      <c r="I9" s="926"/>
      <c r="J9" s="926"/>
      <c r="K9" s="926"/>
      <c r="L9" s="933"/>
      <c r="M9" s="926"/>
      <c r="N9" s="926"/>
      <c r="S9" s="923"/>
    </row>
    <row r="10" spans="1:23" s="950" customFormat="1" ht="17.25" customHeight="1" x14ac:dyDescent="0.35">
      <c r="A10" s="923"/>
      <c r="G10" s="929">
        <f>D17</f>
        <v>14.8</v>
      </c>
      <c r="H10" s="1713" t="s">
        <v>3</v>
      </c>
      <c r="I10" s="971"/>
      <c r="J10" s="972" t="s">
        <v>342</v>
      </c>
      <c r="K10" s="974" t="str">
        <f>B6</f>
        <v xml:space="preserve">b° </v>
      </c>
      <c r="L10" s="1713" t="s">
        <v>3</v>
      </c>
      <c r="M10" s="1713" t="s">
        <v>337</v>
      </c>
      <c r="N10" s="1713"/>
      <c r="S10" s="923"/>
    </row>
    <row r="11" spans="1:23" s="950" customFormat="1" ht="19.5" customHeight="1" x14ac:dyDescent="0.35">
      <c r="A11" s="923"/>
      <c r="G11" s="927" t="str">
        <f>B14</f>
        <v>y</v>
      </c>
      <c r="H11" s="1713"/>
      <c r="I11" s="951"/>
      <c r="J11" s="973" t="s">
        <v>343</v>
      </c>
      <c r="K11" s="975" t="str">
        <f>K10</f>
        <v xml:space="preserve">b° </v>
      </c>
      <c r="L11" s="1713"/>
      <c r="M11" s="1713"/>
      <c r="N11" s="1713"/>
      <c r="S11" s="923"/>
    </row>
    <row r="12" spans="1:23" s="950" customFormat="1" ht="14.25" customHeight="1" x14ac:dyDescent="0.35">
      <c r="A12" s="923"/>
      <c r="D12" s="930"/>
      <c r="E12" s="930"/>
      <c r="F12" s="930"/>
      <c r="H12" s="924"/>
      <c r="K12" s="976"/>
      <c r="L12" s="933"/>
      <c r="M12" s="926"/>
      <c r="N12" s="926"/>
      <c r="S12" s="923"/>
    </row>
    <row r="13" spans="1:23" s="950" customFormat="1" ht="14.25" customHeight="1" x14ac:dyDescent="0.35">
      <c r="A13" s="923"/>
      <c r="B13" s="956"/>
      <c r="C13" s="956"/>
      <c r="D13" s="930"/>
      <c r="E13" s="930"/>
      <c r="F13" s="930"/>
      <c r="G13" s="929">
        <f>D17</f>
        <v>14.8</v>
      </c>
      <c r="H13" s="1713" t="s">
        <v>3</v>
      </c>
      <c r="I13" s="971"/>
      <c r="J13" s="972" t="s">
        <v>342</v>
      </c>
      <c r="K13" s="974" t="str">
        <f>K10</f>
        <v xml:space="preserve">b° </v>
      </c>
      <c r="L13" s="1713" t="s">
        <v>3</v>
      </c>
      <c r="M13" s="1713" t="s">
        <v>339</v>
      </c>
      <c r="N13" s="1713"/>
      <c r="S13" s="923"/>
    </row>
    <row r="14" spans="1:23" s="950" customFormat="1" ht="14.25" customHeight="1" x14ac:dyDescent="0.35">
      <c r="A14" s="923"/>
      <c r="B14" s="956" t="s">
        <v>292</v>
      </c>
      <c r="C14" s="956"/>
      <c r="D14" s="931" t="s">
        <v>293</v>
      </c>
      <c r="E14" s="932"/>
      <c r="G14" s="931" t="str">
        <f>D14</f>
        <v>z</v>
      </c>
      <c r="H14" s="1713"/>
      <c r="I14" s="2070" t="s">
        <v>300</v>
      </c>
      <c r="J14" s="2070"/>
      <c r="K14" s="2070"/>
      <c r="L14" s="1713"/>
      <c r="M14" s="1713"/>
      <c r="N14" s="1713"/>
      <c r="S14" s="923"/>
    </row>
    <row r="15" spans="1:23" s="950" customFormat="1" ht="14.25" customHeight="1" x14ac:dyDescent="0.35">
      <c r="A15" s="923"/>
      <c r="B15" s="956"/>
      <c r="C15" s="956"/>
      <c r="D15" s="926"/>
      <c r="E15" s="926"/>
      <c r="F15" s="926"/>
      <c r="L15" s="924"/>
      <c r="S15" s="923"/>
    </row>
    <row r="16" spans="1:23" s="950" customFormat="1" ht="14.25" customHeight="1" x14ac:dyDescent="0.35">
      <c r="A16" s="923"/>
      <c r="B16" s="926"/>
      <c r="D16" s="957"/>
      <c r="E16" s="957"/>
      <c r="F16" s="926"/>
      <c r="S16" s="923"/>
    </row>
    <row r="17" spans="1:19" s="950" customFormat="1" ht="18.600000000000001" thickBot="1" x14ac:dyDescent="0.4">
      <c r="A17" s="923"/>
      <c r="B17" s="957"/>
      <c r="C17" s="957"/>
      <c r="D17" s="958">
        <f>D8</f>
        <v>14.8</v>
      </c>
      <c r="E17" s="957"/>
      <c r="F17" s="926"/>
      <c r="S17" s="923"/>
    </row>
    <row r="18" spans="1:19" s="950" customFormat="1" ht="18" x14ac:dyDescent="0.35">
      <c r="A18" s="923"/>
      <c r="B18" s="934">
        <f>D17</f>
        <v>14.8</v>
      </c>
      <c r="C18" s="2073" t="s">
        <v>3</v>
      </c>
      <c r="D18" s="2073"/>
      <c r="E18" s="959" t="str">
        <f>CONCATENATE("tg(",D6,"°)")</f>
        <v>tg(43,9°)</v>
      </c>
      <c r="F18" s="959"/>
      <c r="G18" s="960"/>
      <c r="H18" s="2028" t="s">
        <v>289</v>
      </c>
      <c r="I18" s="2058" t="str">
        <f>B19</f>
        <v>y</v>
      </c>
      <c r="J18" s="2096" t="s">
        <v>3</v>
      </c>
      <c r="K18" s="935">
        <f>B18</f>
        <v>14.8</v>
      </c>
      <c r="L18" s="935"/>
      <c r="M18" s="2026" t="s">
        <v>3</v>
      </c>
      <c r="N18" s="2026" t="str">
        <f>CONCATENATE(B18,"/",ROUND(TAN(D6/180*PI()),3),)</f>
        <v>14,8/0,962</v>
      </c>
      <c r="O18" s="2026"/>
      <c r="P18" s="2026"/>
      <c r="Q18" s="2026" t="s">
        <v>3</v>
      </c>
      <c r="R18" s="2113">
        <f>B18/TAN(D6/180*PI())</f>
        <v>15.379475533524312</v>
      </c>
      <c r="S18" s="923"/>
    </row>
    <row r="19" spans="1:19" s="950" customFormat="1" ht="18.600000000000001" thickBot="1" x14ac:dyDescent="0.4">
      <c r="A19" s="923"/>
      <c r="B19" s="942" t="str">
        <f>B14</f>
        <v>y</v>
      </c>
      <c r="C19" s="2077"/>
      <c r="D19" s="2077"/>
      <c r="E19" s="2077">
        <v>1</v>
      </c>
      <c r="F19" s="2077"/>
      <c r="G19" s="944"/>
      <c r="H19" s="2029"/>
      <c r="I19" s="2102"/>
      <c r="J19" s="2097"/>
      <c r="K19" s="939" t="str">
        <f>E18</f>
        <v>tg(43,9°)</v>
      </c>
      <c r="L19" s="939"/>
      <c r="M19" s="2027"/>
      <c r="N19" s="2027"/>
      <c r="O19" s="2027"/>
      <c r="P19" s="2027"/>
      <c r="Q19" s="2027"/>
      <c r="R19" s="2114"/>
      <c r="S19" s="923"/>
    </row>
    <row r="20" spans="1:19" s="950" customFormat="1" ht="23.25" customHeight="1" x14ac:dyDescent="0.35">
      <c r="A20" s="923"/>
      <c r="B20" s="977">
        <f>D17</f>
        <v>14.8</v>
      </c>
      <c r="C20" s="2074" t="s">
        <v>3</v>
      </c>
      <c r="D20" s="2074" t="s">
        <v>3</v>
      </c>
      <c r="E20" s="2110" t="str">
        <f>CONCATENATE("sen(",D6,"°)")</f>
        <v>sen(43,9°)</v>
      </c>
      <c r="F20" s="2110"/>
      <c r="G20" s="2110"/>
      <c r="H20" s="2111" t="s">
        <v>289</v>
      </c>
      <c r="I20" s="2094" t="str">
        <f>B21</f>
        <v>z</v>
      </c>
      <c r="J20" s="2112" t="str">
        <f>C20</f>
        <v>=</v>
      </c>
      <c r="K20" s="2110">
        <f>B20</f>
        <v>14.8</v>
      </c>
      <c r="L20" s="2110"/>
      <c r="M20" s="2110"/>
      <c r="N20" s="943"/>
      <c r="O20" s="2026" t="s">
        <v>3</v>
      </c>
      <c r="P20" s="2108" t="str">
        <f>CONCATENATE(D17,"/",ROUND(SIN(D6/180*PI()),3),"=")</f>
        <v>14,8/0,693=</v>
      </c>
      <c r="Q20" s="2108"/>
      <c r="R20" s="2106">
        <f>D17/SIN(D6/180*PI())</f>
        <v>21.344045251223417</v>
      </c>
      <c r="S20" s="923"/>
    </row>
    <row r="21" spans="1:19" s="950" customFormat="1" ht="24" customHeight="1" thickBot="1" x14ac:dyDescent="0.4">
      <c r="A21" s="923"/>
      <c r="B21" s="938" t="str">
        <f>D14</f>
        <v>z</v>
      </c>
      <c r="C21" s="2077"/>
      <c r="D21" s="2077"/>
      <c r="E21" s="944"/>
      <c r="F21" s="944">
        <v>1</v>
      </c>
      <c r="G21" s="944"/>
      <c r="H21" s="2097"/>
      <c r="I21" s="2095"/>
      <c r="J21" s="2027"/>
      <c r="K21" s="2091" t="str">
        <f>E20</f>
        <v>sen(43,9°)</v>
      </c>
      <c r="L21" s="2091"/>
      <c r="M21" s="2091"/>
      <c r="N21" s="944"/>
      <c r="O21" s="2027"/>
      <c r="P21" s="2109"/>
      <c r="Q21" s="2109"/>
      <c r="R21" s="2107"/>
      <c r="S21" s="923"/>
    </row>
    <row r="22" spans="1:19" s="950" customFormat="1" ht="18" x14ac:dyDescent="0.35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</row>
    <row r="23" spans="1:19" s="950" customFormat="1" ht="18" x14ac:dyDescent="0.35">
      <c r="A23" s="923"/>
      <c r="S23" s="923"/>
    </row>
  </sheetData>
  <mergeCells count="34">
    <mergeCell ref="L5:L8"/>
    <mergeCell ref="M5:N8"/>
    <mergeCell ref="R20:R21"/>
    <mergeCell ref="M10:N11"/>
    <mergeCell ref="H13:H14"/>
    <mergeCell ref="L13:L14"/>
    <mergeCell ref="M13:N14"/>
    <mergeCell ref="I14:K14"/>
    <mergeCell ref="K20:M20"/>
    <mergeCell ref="O20:O21"/>
    <mergeCell ref="P20:Q21"/>
    <mergeCell ref="K21:M21"/>
    <mergeCell ref="L10:L11"/>
    <mergeCell ref="R18:R19"/>
    <mergeCell ref="N18:P19"/>
    <mergeCell ref="M18:M19"/>
    <mergeCell ref="Q18:Q19"/>
    <mergeCell ref="H10:H11"/>
    <mergeCell ref="C20:D21"/>
    <mergeCell ref="E20:G20"/>
    <mergeCell ref="H20:H21"/>
    <mergeCell ref="I20:I21"/>
    <mergeCell ref="J20:J21"/>
    <mergeCell ref="D6:E6"/>
    <mergeCell ref="I6:K6"/>
    <mergeCell ref="G7:G8"/>
    <mergeCell ref="C18:D19"/>
    <mergeCell ref="H18:H19"/>
    <mergeCell ref="I18:I19"/>
    <mergeCell ref="J18:J19"/>
    <mergeCell ref="D8:E8"/>
    <mergeCell ref="E19:F19"/>
    <mergeCell ref="I7:K8"/>
    <mergeCell ref="H6:H7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AA91"/>
  <sheetViews>
    <sheetView workbookViewId="0">
      <selection activeCell="T7" sqref="T7"/>
    </sheetView>
  </sheetViews>
  <sheetFormatPr defaultColWidth="8.8984375" defaultRowHeight="19.5" customHeight="1" x14ac:dyDescent="0.3"/>
  <cols>
    <col min="1" max="1" width="2.69921875" style="940" customWidth="1"/>
    <col min="2" max="2" width="6.69921875" style="924" customWidth="1"/>
    <col min="3" max="3" width="2.8984375" style="924" customWidth="1"/>
    <col min="4" max="4" width="5.19921875" style="924" customWidth="1"/>
    <col min="5" max="5" width="11.19921875" style="924" customWidth="1"/>
    <col min="6" max="6" width="4.8984375" style="924" customWidth="1"/>
    <col min="7" max="7" width="6.09765625" style="924" customWidth="1"/>
    <col min="8" max="8" width="4.5" style="924" customWidth="1"/>
    <col min="9" max="9" width="4.8984375" style="924" customWidth="1"/>
    <col min="10" max="10" width="5.8984375" style="924" customWidth="1"/>
    <col min="11" max="11" width="8.3984375" style="924" customWidth="1"/>
    <col min="12" max="12" width="5.09765625" style="924" customWidth="1"/>
    <col min="13" max="13" width="10.69921875" style="924" customWidth="1"/>
    <col min="14" max="14" width="7.5" style="924" customWidth="1"/>
    <col min="15" max="15" width="5.8984375" style="924" customWidth="1"/>
    <col min="16" max="16" width="4.5" style="924" customWidth="1"/>
    <col min="17" max="17" width="6.69921875" style="924" customWidth="1"/>
    <col min="18" max="18" width="6.09765625" style="940" customWidth="1"/>
    <col min="19" max="19" width="2.3984375" style="924" customWidth="1"/>
    <col min="20" max="27" width="8.8984375" style="940"/>
    <col min="28" max="16384" width="8.8984375" style="924"/>
  </cols>
  <sheetData>
    <row r="1" spans="1:19" ht="19.5" customHeight="1" x14ac:dyDescent="0.3">
      <c r="A1" s="940" t="str">
        <f>Inicio!J6</f>
        <v>Estudante</v>
      </c>
      <c r="B1" s="940"/>
      <c r="C1" s="940"/>
      <c r="D1" s="940"/>
      <c r="E1" s="940" t="s">
        <v>256</v>
      </c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S1" s="940"/>
    </row>
    <row r="2" spans="1:19" ht="19.5" customHeight="1" x14ac:dyDescent="0.35">
      <c r="Q2" s="963"/>
      <c r="R2" s="1089">
        <f>B19/O19</f>
        <v>0.51354125205817014</v>
      </c>
      <c r="S2" s="940"/>
    </row>
    <row r="3" spans="1:19" ht="19.5" customHeight="1" x14ac:dyDescent="0.3">
      <c r="Q3" s="963"/>
      <c r="R3" s="963"/>
      <c r="S3" s="940"/>
    </row>
    <row r="4" spans="1:19" ht="19.5" customHeight="1" x14ac:dyDescent="0.3">
      <c r="Q4" s="963"/>
      <c r="R4" s="963" t="s">
        <v>22</v>
      </c>
      <c r="S4" s="940"/>
    </row>
    <row r="5" spans="1:19" ht="15.75" customHeight="1" thickBot="1" x14ac:dyDescent="0.4">
      <c r="B5" s="950"/>
      <c r="C5" s="950"/>
      <c r="D5" s="950"/>
      <c r="E5" s="950"/>
      <c r="F5" s="950"/>
      <c r="G5" s="950"/>
      <c r="H5" s="950"/>
      <c r="I5" s="950"/>
      <c r="J5" s="950"/>
      <c r="K5" s="950"/>
      <c r="O5" s="950"/>
      <c r="P5" s="950"/>
      <c r="Q5" s="1089"/>
      <c r="R5" s="1089"/>
      <c r="S5" s="940"/>
    </row>
    <row r="6" spans="1:19" ht="19.5" customHeight="1" thickBot="1" x14ac:dyDescent="0.4">
      <c r="B6" s="951" t="s">
        <v>340</v>
      </c>
      <c r="C6" s="952" t="s">
        <v>3</v>
      </c>
      <c r="D6" s="2078">
        <v>59.1</v>
      </c>
      <c r="E6" s="2079"/>
      <c r="F6" s="926" t="s">
        <v>278</v>
      </c>
      <c r="G6" s="929">
        <f>D8</f>
        <v>6.8</v>
      </c>
      <c r="H6" s="1713" t="s">
        <v>3</v>
      </c>
      <c r="I6" s="2052" t="s">
        <v>349</v>
      </c>
      <c r="J6" s="2052"/>
      <c r="K6" s="2052"/>
      <c r="L6" s="1713" t="s">
        <v>3</v>
      </c>
      <c r="M6" s="1713" t="s">
        <v>345</v>
      </c>
      <c r="N6" s="1713"/>
      <c r="O6" s="950"/>
      <c r="P6" s="950"/>
      <c r="Q6" s="950"/>
      <c r="R6" s="950"/>
      <c r="S6" s="940"/>
    </row>
    <row r="7" spans="1:19" ht="15.75" customHeight="1" thickBot="1" x14ac:dyDescent="0.4">
      <c r="B7" s="952"/>
      <c r="C7" s="952"/>
      <c r="D7" s="926"/>
      <c r="E7" s="926"/>
      <c r="F7" s="926"/>
      <c r="G7" s="2071" t="str">
        <f>D14</f>
        <v>z</v>
      </c>
      <c r="H7" s="1713"/>
      <c r="I7" s="2071" t="s">
        <v>301</v>
      </c>
      <c r="J7" s="2071"/>
      <c r="K7" s="2071"/>
      <c r="L7" s="1713"/>
      <c r="M7" s="1713"/>
      <c r="N7" s="1713"/>
      <c r="O7" s="950"/>
      <c r="P7" s="950"/>
      <c r="Q7" s="950"/>
      <c r="R7" s="950"/>
      <c r="S7" s="940"/>
    </row>
    <row r="8" spans="1:19" ht="19.5" customHeight="1" thickBot="1" x14ac:dyDescent="0.4">
      <c r="B8" s="941" t="s">
        <v>292</v>
      </c>
      <c r="C8" s="928" t="s">
        <v>3</v>
      </c>
      <c r="D8" s="2117">
        <v>6.8</v>
      </c>
      <c r="E8" s="2118"/>
      <c r="F8" s="926" t="s">
        <v>265</v>
      </c>
      <c r="G8" s="2072"/>
      <c r="H8" s="966"/>
      <c r="I8" s="2072"/>
      <c r="J8" s="2072"/>
      <c r="K8" s="2072"/>
      <c r="L8" s="950"/>
      <c r="M8" s="950"/>
      <c r="N8" s="950"/>
      <c r="O8" s="950"/>
      <c r="P8" s="950"/>
      <c r="Q8" s="950"/>
      <c r="R8" s="950"/>
      <c r="S8" s="940"/>
    </row>
    <row r="9" spans="1:19" ht="19.5" customHeight="1" x14ac:dyDescent="0.35">
      <c r="B9" s="953" t="s">
        <v>344</v>
      </c>
      <c r="C9" s="953"/>
      <c r="D9" s="954"/>
      <c r="E9" s="955">
        <f>90-D6</f>
        <v>30.9</v>
      </c>
      <c r="F9" s="955" t="s">
        <v>278</v>
      </c>
      <c r="G9" s="926"/>
      <c r="H9" s="926"/>
      <c r="I9" s="926"/>
      <c r="J9" s="926"/>
      <c r="K9" s="926"/>
      <c r="L9" s="926"/>
      <c r="M9" s="926"/>
      <c r="N9" s="926"/>
      <c r="O9" s="950"/>
      <c r="P9" s="950"/>
      <c r="Q9" s="950"/>
      <c r="R9" s="950"/>
      <c r="S9" s="940"/>
    </row>
    <row r="10" spans="1:19" ht="19.5" customHeight="1" x14ac:dyDescent="0.35">
      <c r="B10" s="950"/>
      <c r="C10" s="950"/>
      <c r="D10" s="950"/>
      <c r="E10" s="950"/>
      <c r="F10" s="950"/>
      <c r="G10" s="925" t="str">
        <f>D16</f>
        <v>x</v>
      </c>
      <c r="H10" s="1713" t="s">
        <v>3</v>
      </c>
      <c r="I10" s="971"/>
      <c r="J10" s="979" t="s">
        <v>351</v>
      </c>
      <c r="K10" s="974" t="str">
        <f>B6</f>
        <v xml:space="preserve">b° </v>
      </c>
      <c r="L10" s="1713" t="s">
        <v>3</v>
      </c>
      <c r="M10" s="1713" t="s">
        <v>346</v>
      </c>
      <c r="N10" s="1713"/>
      <c r="O10" s="950"/>
      <c r="Q10" s="950"/>
      <c r="R10" s="950"/>
      <c r="S10" s="940"/>
    </row>
    <row r="11" spans="1:19" ht="19.5" customHeight="1" x14ac:dyDescent="0.35">
      <c r="B11" s="950"/>
      <c r="C11" s="950"/>
      <c r="D11" s="950"/>
      <c r="E11" s="950"/>
      <c r="F11" s="950"/>
      <c r="G11" s="941">
        <f>D8</f>
        <v>6.8</v>
      </c>
      <c r="H11" s="1713"/>
      <c r="I11" s="951"/>
      <c r="J11" s="973" t="s">
        <v>350</v>
      </c>
      <c r="K11" s="975" t="str">
        <f>K10</f>
        <v xml:space="preserve">b° </v>
      </c>
      <c r="L11" s="1713"/>
      <c r="M11" s="1713"/>
      <c r="N11" s="1713"/>
      <c r="O11" s="950"/>
      <c r="P11" s="950"/>
      <c r="Q11" s="950"/>
      <c r="R11" s="950"/>
      <c r="S11" s="940"/>
    </row>
    <row r="12" spans="1:19" ht="10.5" customHeight="1" x14ac:dyDescent="0.35">
      <c r="B12" s="950"/>
      <c r="C12" s="950"/>
      <c r="D12" s="930"/>
      <c r="E12" s="930"/>
      <c r="F12" s="930"/>
      <c r="G12" s="950"/>
      <c r="H12" s="950"/>
      <c r="I12" s="950"/>
      <c r="J12" s="950"/>
      <c r="K12" s="976"/>
      <c r="L12" s="926"/>
      <c r="M12" s="926"/>
      <c r="N12" s="926"/>
      <c r="O12" s="950"/>
      <c r="P12" s="950"/>
      <c r="Q12" s="950"/>
      <c r="R12" s="950"/>
      <c r="S12" s="940"/>
    </row>
    <row r="13" spans="1:19" ht="19.5" customHeight="1" x14ac:dyDescent="0.35">
      <c r="B13" s="956"/>
      <c r="C13" s="956"/>
      <c r="D13" s="930"/>
      <c r="E13" s="930"/>
      <c r="F13" s="930"/>
      <c r="G13" s="925" t="str">
        <f>D16</f>
        <v>x</v>
      </c>
      <c r="H13" s="1713" t="s">
        <v>3</v>
      </c>
      <c r="I13" s="971"/>
      <c r="J13" s="979" t="s">
        <v>351</v>
      </c>
      <c r="K13" s="974" t="str">
        <f>K10</f>
        <v xml:space="preserve">b° </v>
      </c>
      <c r="L13" s="1713" t="s">
        <v>3</v>
      </c>
      <c r="M13" s="1713" t="s">
        <v>347</v>
      </c>
      <c r="N13" s="1713"/>
      <c r="O13" s="950"/>
      <c r="P13" s="950"/>
      <c r="Q13" s="950"/>
      <c r="R13" s="950"/>
      <c r="S13" s="940"/>
    </row>
    <row r="14" spans="1:19" ht="19.5" customHeight="1" x14ac:dyDescent="0.35">
      <c r="B14" s="978">
        <f>D8</f>
        <v>6.8</v>
      </c>
      <c r="C14" s="956"/>
      <c r="D14" s="931" t="s">
        <v>293</v>
      </c>
      <c r="E14" s="932"/>
      <c r="F14" s="950"/>
      <c r="G14" s="931" t="str">
        <f>D14</f>
        <v>z</v>
      </c>
      <c r="H14" s="1713"/>
      <c r="I14" s="2070" t="s">
        <v>300</v>
      </c>
      <c r="J14" s="2070"/>
      <c r="K14" s="2070"/>
      <c r="L14" s="1713"/>
      <c r="M14" s="1713"/>
      <c r="N14" s="1713"/>
      <c r="O14" s="950"/>
      <c r="P14" s="950"/>
      <c r="Q14" s="950"/>
      <c r="R14" s="950"/>
      <c r="S14" s="940"/>
    </row>
    <row r="15" spans="1:19" ht="19.5" customHeight="1" x14ac:dyDescent="0.35">
      <c r="B15" s="956"/>
      <c r="C15" s="956"/>
      <c r="D15" s="926"/>
      <c r="E15" s="926"/>
      <c r="F15" s="926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40"/>
    </row>
    <row r="16" spans="1:19" ht="19.5" customHeight="1" thickBot="1" x14ac:dyDescent="0.4">
      <c r="B16" s="957"/>
      <c r="C16" s="957"/>
      <c r="D16" s="958" t="str">
        <f>R4</f>
        <v>x</v>
      </c>
      <c r="E16" s="957"/>
      <c r="F16" s="926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40"/>
    </row>
    <row r="17" spans="2:19" ht="19.5" customHeight="1" x14ac:dyDescent="0.35">
      <c r="B17" s="937" t="str">
        <f>D16</f>
        <v>x</v>
      </c>
      <c r="C17" s="2115" t="s">
        <v>3</v>
      </c>
      <c r="D17" s="2073"/>
      <c r="E17" s="959" t="str">
        <f>CONCATENATE("tg(",D6,"°)")</f>
        <v>tg(59,1°)</v>
      </c>
      <c r="F17" s="959"/>
      <c r="G17" s="960"/>
      <c r="H17" s="2028" t="s">
        <v>289</v>
      </c>
      <c r="I17" s="2058" t="s">
        <v>22</v>
      </c>
      <c r="J17" s="2096" t="s">
        <v>3</v>
      </c>
      <c r="K17" s="2026" t="str">
        <f>CONCATENATE(B18, "x",E17)</f>
        <v>6,8xtg(59,1°)</v>
      </c>
      <c r="L17" s="2026"/>
      <c r="M17" s="2026" t="s">
        <v>3</v>
      </c>
      <c r="N17" s="2120" t="str">
        <f>CONCATENATE(B18,"x",ROUND(TAN(D6/180*PI()),3),"   =   ")</f>
        <v xml:space="preserve">6,8x1,671   =   </v>
      </c>
      <c r="O17" s="2120"/>
      <c r="P17" s="2104">
        <f>B18*TAN(D6/180*PI())</f>
        <v>11.361972062684178</v>
      </c>
      <c r="Q17" s="2104"/>
      <c r="R17" s="2106"/>
      <c r="S17" s="940"/>
    </row>
    <row r="18" spans="2:19" ht="19.5" customHeight="1" thickBot="1" x14ac:dyDescent="0.4">
      <c r="B18" s="980">
        <f>B14</f>
        <v>6.8</v>
      </c>
      <c r="C18" s="2116"/>
      <c r="D18" s="2077"/>
      <c r="E18" s="2077">
        <v>1</v>
      </c>
      <c r="F18" s="2077"/>
      <c r="G18" s="944"/>
      <c r="H18" s="2029"/>
      <c r="I18" s="2102"/>
      <c r="J18" s="2097"/>
      <c r="K18" s="2027"/>
      <c r="L18" s="2112"/>
      <c r="M18" s="2112"/>
      <c r="N18" s="2121"/>
      <c r="O18" s="2121"/>
      <c r="P18" s="2029"/>
      <c r="Q18" s="2029"/>
      <c r="R18" s="2107"/>
      <c r="S18" s="940"/>
    </row>
    <row r="19" spans="2:19" ht="19.5" customHeight="1" x14ac:dyDescent="0.35">
      <c r="B19" s="934">
        <f>B14</f>
        <v>6.8</v>
      </c>
      <c r="C19" s="2073" t="s">
        <v>3</v>
      </c>
      <c r="D19" s="2073" t="s">
        <v>3</v>
      </c>
      <c r="E19" s="2088" t="str">
        <f>CONCATENATE("COS(",D6,"°)")</f>
        <v>COS(59,1°)</v>
      </c>
      <c r="F19" s="2088"/>
      <c r="G19" s="2088"/>
      <c r="H19" s="2096" t="s">
        <v>289</v>
      </c>
      <c r="I19" s="2094" t="str">
        <f>B20</f>
        <v>z</v>
      </c>
      <c r="J19" s="2026" t="str">
        <f>C19</f>
        <v>=</v>
      </c>
      <c r="K19" s="981">
        <f>B19</f>
        <v>6.8</v>
      </c>
      <c r="L19" s="2026" t="s">
        <v>3</v>
      </c>
      <c r="M19" s="2120" t="str">
        <f>CONCATENATE(B19,"/",ROUND(COS(D6/180*PI()),3),"  =  ")</f>
        <v xml:space="preserve">6,8/0,514  =  </v>
      </c>
      <c r="N19" s="2120"/>
      <c r="O19" s="2104">
        <f>B19/(COS(D6/180*PI()))</f>
        <v>13.241390000797338</v>
      </c>
      <c r="P19" s="2104"/>
      <c r="Q19" s="2104"/>
      <c r="R19" s="2104"/>
      <c r="S19" s="940"/>
    </row>
    <row r="20" spans="2:19" ht="19.5" customHeight="1" thickBot="1" x14ac:dyDescent="0.4">
      <c r="B20" s="938" t="str">
        <f>D14</f>
        <v>z</v>
      </c>
      <c r="C20" s="2077"/>
      <c r="D20" s="2077"/>
      <c r="E20" s="944"/>
      <c r="F20" s="944">
        <v>1</v>
      </c>
      <c r="G20" s="944"/>
      <c r="H20" s="2097"/>
      <c r="I20" s="2095"/>
      <c r="J20" s="2027"/>
      <c r="K20" s="969" t="str">
        <f>E19</f>
        <v>COS(59,1°)</v>
      </c>
      <c r="L20" s="2027"/>
      <c r="M20" s="2121"/>
      <c r="N20" s="2121"/>
      <c r="O20" s="2119"/>
      <c r="P20" s="2119"/>
      <c r="Q20" s="2119"/>
      <c r="R20" s="2119"/>
      <c r="S20" s="940"/>
    </row>
    <row r="21" spans="2:19" ht="19.5" customHeight="1" x14ac:dyDescent="0.3">
      <c r="B21" s="940"/>
      <c r="C21" s="940"/>
      <c r="D21" s="940"/>
      <c r="E21" s="940"/>
      <c r="F21" s="940"/>
      <c r="G21" s="940"/>
      <c r="H21" s="940"/>
      <c r="I21" s="940"/>
      <c r="J21" s="940"/>
      <c r="K21" s="940"/>
      <c r="L21" s="940"/>
      <c r="M21" s="940"/>
      <c r="N21" s="940"/>
      <c r="O21" s="940"/>
      <c r="P21" s="940"/>
      <c r="Q21" s="940"/>
      <c r="S21" s="940"/>
    </row>
    <row r="22" spans="2:19" s="940" customFormat="1" ht="19.5" customHeight="1" x14ac:dyDescent="0.3"/>
    <row r="23" spans="2:19" s="940" customFormat="1" ht="19.5" customHeight="1" x14ac:dyDescent="0.3"/>
    <row r="24" spans="2:19" s="940" customFormat="1" ht="19.5" customHeight="1" x14ac:dyDescent="0.3"/>
    <row r="25" spans="2:19" s="940" customFormat="1" ht="19.5" customHeight="1" x14ac:dyDescent="0.3"/>
    <row r="26" spans="2:19" s="940" customFormat="1" ht="19.5" customHeight="1" x14ac:dyDescent="0.3"/>
    <row r="27" spans="2:19" s="940" customFormat="1" ht="19.5" customHeight="1" x14ac:dyDescent="0.3"/>
    <row r="28" spans="2:19" s="940" customFormat="1" ht="19.5" customHeight="1" x14ac:dyDescent="0.3"/>
    <row r="29" spans="2:19" s="940" customFormat="1" ht="19.5" customHeight="1" x14ac:dyDescent="0.3"/>
    <row r="30" spans="2:19" s="940" customFormat="1" ht="19.5" customHeight="1" x14ac:dyDescent="0.3"/>
    <row r="31" spans="2:19" s="940" customFormat="1" ht="19.5" customHeight="1" x14ac:dyDescent="0.3"/>
    <row r="32" spans="2:19" s="940" customFormat="1" ht="15" customHeight="1" x14ac:dyDescent="0.3"/>
    <row r="33" s="940" customFormat="1" ht="15" customHeight="1" x14ac:dyDescent="0.3"/>
    <row r="34" s="940" customFormat="1" ht="15" customHeight="1" x14ac:dyDescent="0.3"/>
    <row r="35" s="940" customFormat="1" ht="15" customHeight="1" x14ac:dyDescent="0.3"/>
    <row r="36" s="940" customFormat="1" ht="15" customHeight="1" x14ac:dyDescent="0.3"/>
    <row r="37" s="940" customFormat="1" ht="15" customHeight="1" x14ac:dyDescent="0.3"/>
    <row r="38" s="940" customFormat="1" ht="15" customHeight="1" x14ac:dyDescent="0.3"/>
    <row r="39" s="940" customFormat="1" ht="15" customHeight="1" x14ac:dyDescent="0.3"/>
    <row r="40" s="940" customFormat="1" ht="15" customHeight="1" x14ac:dyDescent="0.3"/>
    <row r="41" s="940" customFormat="1" ht="15" customHeight="1" x14ac:dyDescent="0.3"/>
    <row r="42" s="940" customFormat="1" ht="15" customHeight="1" x14ac:dyDescent="0.3"/>
    <row r="43" s="940" customFormat="1" ht="15" customHeight="1" x14ac:dyDescent="0.3"/>
    <row r="44" s="940" customFormat="1" ht="15" customHeight="1" x14ac:dyDescent="0.3"/>
    <row r="45" s="940" customFormat="1" ht="15" customHeight="1" x14ac:dyDescent="0.3"/>
    <row r="46" s="940" customFormat="1" ht="15" customHeight="1" x14ac:dyDescent="0.3"/>
    <row r="47" s="940" customFormat="1" ht="15" customHeight="1" x14ac:dyDescent="0.3"/>
    <row r="48" s="940" customFormat="1" ht="15" customHeight="1" x14ac:dyDescent="0.3"/>
    <row r="49" s="940" customFormat="1" ht="15" customHeight="1" x14ac:dyDescent="0.3"/>
    <row r="50" s="940" customFormat="1" ht="15" customHeight="1" x14ac:dyDescent="0.3"/>
    <row r="51" s="940" customFormat="1" ht="15" customHeight="1" x14ac:dyDescent="0.3"/>
    <row r="52" s="940" customFormat="1" ht="15" customHeight="1" x14ac:dyDescent="0.3"/>
    <row r="53" s="940" customFormat="1" ht="15" customHeight="1" x14ac:dyDescent="0.3"/>
    <row r="54" s="940" customFormat="1" ht="15" customHeight="1" x14ac:dyDescent="0.3"/>
    <row r="55" s="940" customFormat="1" ht="15" customHeight="1" x14ac:dyDescent="0.3"/>
    <row r="56" s="940" customFormat="1" ht="15" customHeight="1" x14ac:dyDescent="0.3"/>
    <row r="57" s="940" customFormat="1" ht="15" customHeight="1" x14ac:dyDescent="0.3"/>
    <row r="58" s="940" customFormat="1" ht="15" customHeight="1" x14ac:dyDescent="0.3"/>
    <row r="59" s="940" customFormat="1" ht="15" customHeight="1" x14ac:dyDescent="0.3"/>
    <row r="60" s="940" customFormat="1" ht="15" customHeight="1" x14ac:dyDescent="0.3"/>
    <row r="61" s="940" customFormat="1" ht="15" customHeight="1" x14ac:dyDescent="0.3"/>
    <row r="62" s="940" customFormat="1" ht="15" customHeight="1" x14ac:dyDescent="0.3"/>
    <row r="63" s="940" customFormat="1" ht="15" customHeight="1" x14ac:dyDescent="0.3"/>
    <row r="64" s="940" customFormat="1" ht="19.5" customHeight="1" x14ac:dyDescent="0.3"/>
    <row r="65" spans="1:27" s="965" customFormat="1" ht="19.5" customHeight="1" x14ac:dyDescent="0.3">
      <c r="A65" s="964"/>
      <c r="B65" s="964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40"/>
      <c r="U65" s="940"/>
      <c r="V65" s="940"/>
      <c r="W65" s="940"/>
      <c r="X65" s="940"/>
      <c r="Y65" s="940"/>
      <c r="Z65" s="940"/>
      <c r="AA65" s="940"/>
    </row>
    <row r="66" spans="1:27" s="965" customFormat="1" ht="19.5" customHeight="1" x14ac:dyDescent="0.3">
      <c r="A66" s="964"/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40"/>
      <c r="U66" s="940"/>
      <c r="V66" s="940"/>
      <c r="W66" s="940"/>
      <c r="X66" s="940"/>
      <c r="Y66" s="940"/>
      <c r="Z66" s="940"/>
      <c r="AA66" s="940"/>
    </row>
    <row r="67" spans="1:27" s="965" customFormat="1" ht="19.5" customHeight="1" x14ac:dyDescent="0.3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40"/>
      <c r="U67" s="940"/>
      <c r="V67" s="940"/>
      <c r="W67" s="940"/>
      <c r="X67" s="940"/>
      <c r="Y67" s="940"/>
      <c r="Z67" s="940"/>
      <c r="AA67" s="940"/>
    </row>
    <row r="68" spans="1:27" s="965" customFormat="1" ht="19.5" customHeight="1" x14ac:dyDescent="0.3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40"/>
      <c r="U68" s="940"/>
      <c r="V68" s="940"/>
      <c r="W68" s="940"/>
      <c r="X68" s="940"/>
      <c r="Y68" s="940"/>
      <c r="Z68" s="940"/>
      <c r="AA68" s="940"/>
    </row>
    <row r="69" spans="1:27" s="965" customFormat="1" ht="19.5" customHeight="1" x14ac:dyDescent="0.3">
      <c r="A69" s="964"/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40"/>
      <c r="U69" s="940"/>
      <c r="V69" s="940"/>
      <c r="W69" s="940"/>
      <c r="X69" s="940"/>
      <c r="Y69" s="940"/>
      <c r="Z69" s="940"/>
      <c r="AA69" s="940"/>
    </row>
    <row r="70" spans="1:27" s="965" customFormat="1" ht="19.5" customHeight="1" x14ac:dyDescent="0.3">
      <c r="A70" s="964"/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40"/>
      <c r="U70" s="940"/>
      <c r="V70" s="940"/>
      <c r="W70" s="940"/>
      <c r="X70" s="940"/>
      <c r="Y70" s="940"/>
      <c r="Z70" s="940"/>
      <c r="AA70" s="940"/>
    </row>
    <row r="71" spans="1:27" s="965" customFormat="1" ht="19.5" customHeight="1" x14ac:dyDescent="0.3">
      <c r="A71" s="964"/>
      <c r="B71" s="964"/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40"/>
      <c r="U71" s="940"/>
      <c r="V71" s="940"/>
      <c r="W71" s="940"/>
      <c r="X71" s="940"/>
      <c r="Y71" s="940"/>
      <c r="Z71" s="940"/>
      <c r="AA71" s="940"/>
    </row>
    <row r="72" spans="1:27" s="965" customFormat="1" ht="19.5" customHeight="1" x14ac:dyDescent="0.3">
      <c r="A72" s="964"/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40"/>
      <c r="U72" s="940"/>
      <c r="V72" s="940"/>
      <c r="W72" s="940"/>
      <c r="X72" s="940"/>
      <c r="Y72" s="940"/>
      <c r="Z72" s="940"/>
      <c r="AA72" s="940"/>
    </row>
    <row r="73" spans="1:27" s="965" customFormat="1" ht="19.5" customHeight="1" x14ac:dyDescent="0.3">
      <c r="A73" s="964"/>
      <c r="B73" s="964"/>
      <c r="C73" s="964"/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  <c r="O73" s="964"/>
      <c r="P73" s="964"/>
      <c r="Q73" s="964"/>
      <c r="R73" s="964"/>
      <c r="S73" s="964"/>
      <c r="T73" s="940"/>
      <c r="U73" s="940"/>
      <c r="V73" s="940"/>
      <c r="W73" s="940"/>
      <c r="X73" s="940"/>
      <c r="Y73" s="940"/>
      <c r="Z73" s="940"/>
      <c r="AA73" s="940"/>
    </row>
    <row r="74" spans="1:27" s="965" customFormat="1" ht="19.5" customHeight="1" x14ac:dyDescent="0.3">
      <c r="A74" s="964"/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40"/>
      <c r="U74" s="940"/>
      <c r="V74" s="940"/>
      <c r="W74" s="940"/>
      <c r="X74" s="940"/>
      <c r="Y74" s="940"/>
      <c r="Z74" s="940"/>
      <c r="AA74" s="940"/>
    </row>
    <row r="75" spans="1:27" s="965" customFormat="1" ht="19.5" customHeight="1" x14ac:dyDescent="0.3">
      <c r="A75" s="964"/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4"/>
      <c r="R75" s="964"/>
      <c r="S75" s="964"/>
      <c r="T75" s="940"/>
      <c r="U75" s="940"/>
      <c r="V75" s="940"/>
      <c r="W75" s="940"/>
      <c r="X75" s="940"/>
      <c r="Y75" s="940"/>
      <c r="Z75" s="940"/>
      <c r="AA75" s="940"/>
    </row>
    <row r="76" spans="1:27" s="965" customFormat="1" ht="19.5" customHeight="1" x14ac:dyDescent="0.3">
      <c r="A76" s="964"/>
      <c r="B76" s="964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40"/>
      <c r="U76" s="940"/>
      <c r="V76" s="940"/>
      <c r="W76" s="940"/>
      <c r="X76" s="940"/>
      <c r="Y76" s="940"/>
      <c r="Z76" s="940"/>
      <c r="AA76" s="940"/>
    </row>
    <row r="77" spans="1:27" s="965" customFormat="1" ht="19.5" customHeight="1" x14ac:dyDescent="0.3">
      <c r="A77" s="964"/>
      <c r="B77" s="964"/>
      <c r="C77" s="964"/>
      <c r="D77" s="964"/>
      <c r="E77" s="964"/>
      <c r="F77" s="964"/>
      <c r="G77" s="964"/>
      <c r="H77" s="964"/>
      <c r="I77" s="964"/>
      <c r="J77" s="964"/>
      <c r="K77" s="964"/>
      <c r="L77" s="964"/>
      <c r="M77" s="964"/>
      <c r="N77" s="964"/>
      <c r="O77" s="964"/>
      <c r="P77" s="964"/>
      <c r="Q77" s="964"/>
      <c r="R77" s="964"/>
      <c r="S77" s="964"/>
      <c r="T77" s="940"/>
      <c r="U77" s="940"/>
      <c r="V77" s="940"/>
      <c r="W77" s="940"/>
      <c r="X77" s="940"/>
      <c r="Y77" s="940"/>
      <c r="Z77" s="940"/>
      <c r="AA77" s="940"/>
    </row>
    <row r="78" spans="1:27" s="965" customFormat="1" ht="19.5" customHeight="1" x14ac:dyDescent="0.3">
      <c r="A78" s="964"/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40"/>
      <c r="U78" s="940"/>
      <c r="V78" s="940"/>
      <c r="W78" s="940"/>
      <c r="X78" s="940"/>
      <c r="Y78" s="940"/>
      <c r="Z78" s="940"/>
      <c r="AA78" s="940"/>
    </row>
    <row r="79" spans="1:27" s="965" customFormat="1" ht="19.5" customHeight="1" x14ac:dyDescent="0.3">
      <c r="A79" s="964"/>
      <c r="B79" s="964"/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40"/>
      <c r="U79" s="940"/>
      <c r="V79" s="940"/>
      <c r="W79" s="940"/>
      <c r="X79" s="940"/>
      <c r="Y79" s="940"/>
      <c r="Z79" s="940"/>
      <c r="AA79" s="940"/>
    </row>
    <row r="80" spans="1:27" s="965" customFormat="1" ht="19.5" customHeight="1" x14ac:dyDescent="0.3">
      <c r="A80" s="964"/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40"/>
      <c r="U80" s="940"/>
      <c r="V80" s="940"/>
      <c r="W80" s="940"/>
      <c r="X80" s="940"/>
      <c r="Y80" s="940"/>
      <c r="Z80" s="940"/>
      <c r="AA80" s="940"/>
    </row>
    <row r="81" spans="1:27" s="965" customFormat="1" ht="19.5" customHeight="1" x14ac:dyDescent="0.3">
      <c r="A81" s="964"/>
      <c r="B81" s="964"/>
      <c r="C81" s="964"/>
      <c r="D81" s="964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40"/>
      <c r="U81" s="940"/>
      <c r="V81" s="940"/>
      <c r="W81" s="940"/>
      <c r="X81" s="940"/>
      <c r="Y81" s="940"/>
      <c r="Z81" s="940"/>
      <c r="AA81" s="940"/>
    </row>
    <row r="82" spans="1:27" s="965" customFormat="1" ht="19.5" customHeight="1" x14ac:dyDescent="0.3">
      <c r="A82" s="964"/>
      <c r="B82" s="964"/>
      <c r="C82" s="964"/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40"/>
      <c r="U82" s="940"/>
      <c r="V82" s="940"/>
      <c r="W82" s="940"/>
      <c r="X82" s="940"/>
      <c r="Y82" s="940"/>
      <c r="Z82" s="940"/>
      <c r="AA82" s="940"/>
    </row>
    <row r="83" spans="1:27" s="965" customFormat="1" ht="19.5" customHeight="1" x14ac:dyDescent="0.3">
      <c r="A83" s="964"/>
      <c r="B83" s="964"/>
      <c r="C83" s="964"/>
      <c r="D83" s="964"/>
      <c r="E83" s="964"/>
      <c r="F83" s="964"/>
      <c r="G83" s="964"/>
      <c r="H83" s="964"/>
      <c r="I83" s="964"/>
      <c r="J83" s="964"/>
      <c r="K83" s="964"/>
      <c r="L83" s="964"/>
      <c r="M83" s="964"/>
      <c r="N83" s="964"/>
      <c r="O83" s="964"/>
      <c r="P83" s="964"/>
      <c r="Q83" s="964"/>
      <c r="R83" s="964"/>
      <c r="S83" s="964"/>
      <c r="T83" s="940"/>
      <c r="U83" s="940"/>
      <c r="V83" s="940"/>
      <c r="W83" s="940"/>
      <c r="X83" s="940"/>
      <c r="Y83" s="940"/>
      <c r="Z83" s="940"/>
      <c r="AA83" s="940"/>
    </row>
    <row r="84" spans="1:27" s="965" customFormat="1" ht="19.5" customHeight="1" x14ac:dyDescent="0.3">
      <c r="A84" s="964"/>
      <c r="B84" s="964"/>
      <c r="C84" s="964"/>
      <c r="D84" s="964"/>
      <c r="E84" s="964"/>
      <c r="F84" s="964"/>
      <c r="G84" s="964"/>
      <c r="H84" s="964"/>
      <c r="I84" s="964"/>
      <c r="J84" s="964"/>
      <c r="K84" s="964"/>
      <c r="L84" s="964"/>
      <c r="M84" s="964"/>
      <c r="N84" s="964"/>
      <c r="O84" s="964"/>
      <c r="P84" s="964"/>
      <c r="Q84" s="964"/>
      <c r="R84" s="964"/>
      <c r="S84" s="964"/>
      <c r="T84" s="940"/>
      <c r="U84" s="940"/>
      <c r="V84" s="940"/>
      <c r="W84" s="940"/>
      <c r="X84" s="940"/>
      <c r="Y84" s="940"/>
      <c r="Z84" s="940"/>
      <c r="AA84" s="940"/>
    </row>
    <row r="85" spans="1:27" s="965" customFormat="1" ht="19.5" customHeight="1" x14ac:dyDescent="0.3">
      <c r="A85" s="964"/>
      <c r="B85" s="964"/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40"/>
      <c r="U85" s="940"/>
      <c r="V85" s="940"/>
      <c r="W85" s="940"/>
      <c r="X85" s="940"/>
      <c r="Y85" s="940"/>
      <c r="Z85" s="940"/>
      <c r="AA85" s="940"/>
    </row>
    <row r="86" spans="1:27" s="965" customFormat="1" ht="19.5" customHeight="1" x14ac:dyDescent="0.3">
      <c r="A86" s="964"/>
      <c r="B86" s="964"/>
      <c r="C86" s="964"/>
      <c r="D86" s="964"/>
      <c r="E86" s="964"/>
      <c r="F86" s="964"/>
      <c r="G86" s="964"/>
      <c r="H86" s="964"/>
      <c r="I86" s="964"/>
      <c r="J86" s="964"/>
      <c r="K86" s="964"/>
      <c r="L86" s="964"/>
      <c r="M86" s="964"/>
      <c r="N86" s="964"/>
      <c r="O86" s="964"/>
      <c r="P86" s="964"/>
      <c r="Q86" s="964"/>
      <c r="R86" s="964"/>
      <c r="S86" s="964"/>
      <c r="T86" s="940"/>
      <c r="U86" s="940"/>
      <c r="V86" s="940"/>
      <c r="W86" s="940"/>
      <c r="X86" s="940"/>
      <c r="Y86" s="940"/>
      <c r="Z86" s="940"/>
      <c r="AA86" s="940"/>
    </row>
    <row r="87" spans="1:27" s="965" customFormat="1" ht="19.5" customHeight="1" x14ac:dyDescent="0.3">
      <c r="A87" s="964"/>
      <c r="B87" s="964"/>
      <c r="C87" s="964"/>
      <c r="D87" s="964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964"/>
      <c r="P87" s="964"/>
      <c r="Q87" s="964"/>
      <c r="R87" s="964"/>
      <c r="S87" s="964"/>
      <c r="T87" s="940"/>
      <c r="U87" s="940"/>
      <c r="V87" s="940"/>
      <c r="W87" s="940"/>
      <c r="X87" s="940"/>
      <c r="Y87" s="940"/>
      <c r="Z87" s="940"/>
      <c r="AA87" s="940"/>
    </row>
    <row r="88" spans="1:27" s="965" customFormat="1" ht="19.5" customHeight="1" x14ac:dyDescent="0.3">
      <c r="A88" s="964"/>
      <c r="B88" s="964"/>
      <c r="C88" s="964"/>
      <c r="D88" s="964"/>
      <c r="E88" s="964"/>
      <c r="F88" s="964"/>
      <c r="G88" s="964"/>
      <c r="H88" s="964"/>
      <c r="I88" s="964"/>
      <c r="J88" s="964"/>
      <c r="K88" s="964"/>
      <c r="L88" s="964"/>
      <c r="M88" s="964"/>
      <c r="N88" s="964"/>
      <c r="O88" s="964"/>
      <c r="P88" s="964"/>
      <c r="Q88" s="964"/>
      <c r="R88" s="964"/>
      <c r="S88" s="964"/>
      <c r="T88" s="940"/>
      <c r="U88" s="940"/>
      <c r="V88" s="940"/>
      <c r="W88" s="940"/>
      <c r="X88" s="940"/>
      <c r="Y88" s="940"/>
      <c r="Z88" s="940"/>
      <c r="AA88" s="940"/>
    </row>
    <row r="89" spans="1:27" s="965" customFormat="1" ht="19.5" customHeight="1" x14ac:dyDescent="0.3">
      <c r="A89" s="964"/>
      <c r="B89" s="964"/>
      <c r="C89" s="964"/>
      <c r="D89" s="964"/>
      <c r="E89" s="964"/>
      <c r="F89" s="964"/>
      <c r="G89" s="964"/>
      <c r="H89" s="964"/>
      <c r="I89" s="964"/>
      <c r="J89" s="964"/>
      <c r="K89" s="964"/>
      <c r="L89" s="964"/>
      <c r="M89" s="964"/>
      <c r="N89" s="964"/>
      <c r="O89" s="964"/>
      <c r="P89" s="964"/>
      <c r="Q89" s="964"/>
      <c r="R89" s="964"/>
      <c r="S89" s="964"/>
      <c r="T89" s="940"/>
      <c r="U89" s="940"/>
      <c r="V89" s="940"/>
      <c r="W89" s="940"/>
      <c r="X89" s="940"/>
      <c r="Y89" s="940"/>
      <c r="Z89" s="940"/>
      <c r="AA89" s="940"/>
    </row>
    <row r="90" spans="1:27" ht="19.5" customHeight="1" x14ac:dyDescent="0.3">
      <c r="S90" s="940"/>
    </row>
    <row r="91" spans="1:27" ht="19.5" customHeight="1" x14ac:dyDescent="0.3">
      <c r="S91" s="940"/>
    </row>
  </sheetData>
  <mergeCells count="32">
    <mergeCell ref="P17:R18"/>
    <mergeCell ref="O19:R20"/>
    <mergeCell ref="K17:L18"/>
    <mergeCell ref="M17:M18"/>
    <mergeCell ref="N17:O18"/>
    <mergeCell ref="L19:L20"/>
    <mergeCell ref="M19:N20"/>
    <mergeCell ref="M10:N11"/>
    <mergeCell ref="H13:H14"/>
    <mergeCell ref="L13:L14"/>
    <mergeCell ref="M13:N14"/>
    <mergeCell ref="I14:K14"/>
    <mergeCell ref="H10:H11"/>
    <mergeCell ref="L10:L11"/>
    <mergeCell ref="D6:E6"/>
    <mergeCell ref="H6:H7"/>
    <mergeCell ref="I6:K6"/>
    <mergeCell ref="L6:L7"/>
    <mergeCell ref="M6:N7"/>
    <mergeCell ref="G7:G8"/>
    <mergeCell ref="I7:K8"/>
    <mergeCell ref="C19:D20"/>
    <mergeCell ref="E19:G19"/>
    <mergeCell ref="H19:H20"/>
    <mergeCell ref="I19:I20"/>
    <mergeCell ref="J19:J20"/>
    <mergeCell ref="C17:D18"/>
    <mergeCell ref="H17:H18"/>
    <mergeCell ref="I17:I18"/>
    <mergeCell ref="J17:J18"/>
    <mergeCell ref="D8:E8"/>
    <mergeCell ref="E18:F18"/>
  </mergeCells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AA92"/>
  <sheetViews>
    <sheetView workbookViewId="0">
      <selection activeCell="P13" sqref="P13"/>
    </sheetView>
  </sheetViews>
  <sheetFormatPr defaultColWidth="8.8984375" defaultRowHeight="19.5" customHeight="1" x14ac:dyDescent="0.3"/>
  <cols>
    <col min="1" max="1" width="2.69921875" style="940" customWidth="1"/>
    <col min="2" max="2" width="4.3984375" style="924" customWidth="1"/>
    <col min="3" max="3" width="2.8984375" style="924" customWidth="1"/>
    <col min="4" max="4" width="5.19921875" style="924" customWidth="1"/>
    <col min="5" max="5" width="4.09765625" style="924" customWidth="1"/>
    <col min="6" max="6" width="4.8984375" style="924" customWidth="1"/>
    <col min="7" max="7" width="6.09765625" style="924" customWidth="1"/>
    <col min="8" max="8" width="4.5" style="924" customWidth="1"/>
    <col min="9" max="9" width="4.8984375" style="924" customWidth="1"/>
    <col min="10" max="10" width="5.8984375" style="924" customWidth="1"/>
    <col min="11" max="11" width="5.19921875" style="924" customWidth="1"/>
    <col min="12" max="12" width="6.69921875" style="924" customWidth="1"/>
    <col min="13" max="13" width="10.69921875" style="924" customWidth="1"/>
    <col min="14" max="14" width="7.5" style="924" customWidth="1"/>
    <col min="15" max="15" width="8.8984375" style="924" customWidth="1"/>
    <col min="16" max="16" width="4.5" style="924" customWidth="1"/>
    <col min="17" max="17" width="9" style="924" customWidth="1"/>
    <col min="18" max="18" width="10.5" style="940" customWidth="1"/>
    <col min="19" max="19" width="2.3984375" style="924" customWidth="1"/>
    <col min="20" max="27" width="8.8984375" style="940"/>
    <col min="28" max="16384" width="8.8984375" style="924"/>
  </cols>
  <sheetData>
    <row r="1" spans="1:19" ht="19.5" customHeight="1" x14ac:dyDescent="0.3">
      <c r="A1" s="940" t="str">
        <f>Inicio!J6</f>
        <v>Estudante</v>
      </c>
      <c r="B1" s="940"/>
      <c r="C1" s="940"/>
      <c r="D1" s="940"/>
      <c r="E1" s="940" t="s">
        <v>256</v>
      </c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940"/>
      <c r="Q1" s="940"/>
      <c r="S1" s="940"/>
    </row>
    <row r="2" spans="1:19" ht="19.5" customHeight="1" x14ac:dyDescent="0.3">
      <c r="R2" s="963"/>
      <c r="S2" s="940"/>
    </row>
    <row r="3" spans="1:19" ht="19.5" customHeight="1" x14ac:dyDescent="0.3">
      <c r="R3" s="963"/>
      <c r="S3" s="940"/>
    </row>
    <row r="4" spans="1:19" ht="19.5" customHeight="1" x14ac:dyDescent="0.3">
      <c r="R4" s="924"/>
      <c r="S4" s="940"/>
    </row>
    <row r="5" spans="1:19" ht="9" customHeight="1" thickBot="1" x14ac:dyDescent="0.4">
      <c r="B5" s="950"/>
      <c r="C5" s="950"/>
      <c r="D5" s="950"/>
      <c r="E5" s="950"/>
      <c r="F5" s="950"/>
      <c r="G5" s="950"/>
      <c r="H5" s="950"/>
      <c r="I5" s="950"/>
      <c r="J5" s="950"/>
      <c r="K5" s="950"/>
      <c r="O5" s="950"/>
      <c r="P5" s="950"/>
      <c r="Q5" s="950"/>
      <c r="R5" s="950"/>
      <c r="S5" s="940"/>
    </row>
    <row r="6" spans="1:19" ht="19.5" customHeight="1" thickBot="1" x14ac:dyDescent="0.4">
      <c r="B6" s="951" t="s">
        <v>340</v>
      </c>
      <c r="C6" s="952" t="s">
        <v>3</v>
      </c>
      <c r="D6" s="2078">
        <v>60</v>
      </c>
      <c r="E6" s="2079"/>
      <c r="F6" s="926" t="s">
        <v>278</v>
      </c>
      <c r="G6" s="929" t="str">
        <f>B14</f>
        <v>y</v>
      </c>
      <c r="H6" s="1713" t="s">
        <v>3</v>
      </c>
      <c r="I6" s="2052" t="s">
        <v>352</v>
      </c>
      <c r="J6" s="2052"/>
      <c r="K6" s="2052"/>
      <c r="L6" s="1713" t="s">
        <v>3</v>
      </c>
      <c r="M6" s="1713" t="s">
        <v>345</v>
      </c>
      <c r="N6" s="1713"/>
      <c r="O6" s="950"/>
      <c r="P6" s="950"/>
      <c r="Q6" s="950"/>
      <c r="R6" s="950"/>
      <c r="S6" s="940"/>
    </row>
    <row r="7" spans="1:19" ht="15" customHeight="1" thickBot="1" x14ac:dyDescent="0.4">
      <c r="B7" s="952"/>
      <c r="C7" s="952"/>
      <c r="D7" s="926"/>
      <c r="E7" s="926"/>
      <c r="F7" s="926"/>
      <c r="G7" s="2071">
        <f>D8</f>
        <v>10</v>
      </c>
      <c r="H7" s="1713"/>
      <c r="I7" s="2071" t="s">
        <v>301</v>
      </c>
      <c r="J7" s="2071"/>
      <c r="K7" s="2071"/>
      <c r="L7" s="1713"/>
      <c r="M7" s="1713"/>
      <c r="N7" s="1713"/>
      <c r="O7" s="950"/>
      <c r="P7" s="950"/>
      <c r="Q7" s="950"/>
      <c r="R7" s="950"/>
      <c r="S7" s="940"/>
    </row>
    <row r="8" spans="1:19" ht="19.5" customHeight="1" thickBot="1" x14ac:dyDescent="0.4">
      <c r="B8" s="962" t="s">
        <v>293</v>
      </c>
      <c r="C8" s="928" t="s">
        <v>3</v>
      </c>
      <c r="D8" s="2045">
        <v>10</v>
      </c>
      <c r="E8" s="2046"/>
      <c r="F8" s="926" t="s">
        <v>265</v>
      </c>
      <c r="G8" s="2072"/>
      <c r="H8" s="966"/>
      <c r="I8" s="2072"/>
      <c r="J8" s="2072"/>
      <c r="K8" s="2072"/>
      <c r="L8" s="950"/>
      <c r="M8" s="950"/>
      <c r="N8" s="950"/>
      <c r="O8" s="950"/>
      <c r="P8" s="950"/>
      <c r="Q8" s="950"/>
      <c r="R8" s="950"/>
      <c r="S8" s="940"/>
    </row>
    <row r="9" spans="1:19" ht="19.5" customHeight="1" x14ac:dyDescent="0.35">
      <c r="B9" s="953" t="s">
        <v>348</v>
      </c>
      <c r="C9" s="953"/>
      <c r="D9" s="954"/>
      <c r="E9" s="955">
        <f>90-D6</f>
        <v>30</v>
      </c>
      <c r="F9" s="955" t="s">
        <v>278</v>
      </c>
      <c r="G9" s="926"/>
      <c r="H9" s="926"/>
      <c r="I9" s="926"/>
      <c r="J9" s="926"/>
      <c r="K9" s="926"/>
      <c r="L9" s="926"/>
      <c r="M9" s="926"/>
      <c r="N9" s="926"/>
      <c r="O9" s="950"/>
      <c r="P9" s="950"/>
      <c r="Q9" s="950"/>
      <c r="R9" s="950"/>
      <c r="S9" s="940"/>
    </row>
    <row r="10" spans="1:19" ht="15" customHeight="1" x14ac:dyDescent="0.35">
      <c r="B10" s="950"/>
      <c r="C10" s="950"/>
      <c r="D10" s="950"/>
      <c r="E10" s="950"/>
      <c r="F10" s="950"/>
      <c r="G10" s="925" t="str">
        <f>D16</f>
        <v>x</v>
      </c>
      <c r="H10" s="1713" t="s">
        <v>3</v>
      </c>
      <c r="I10" s="2052" t="s">
        <v>353</v>
      </c>
      <c r="J10" s="2052"/>
      <c r="K10" s="2052"/>
      <c r="L10" s="1713" t="s">
        <v>3</v>
      </c>
      <c r="M10" s="1713" t="s">
        <v>346</v>
      </c>
      <c r="N10" s="1713"/>
      <c r="O10" s="950"/>
      <c r="P10" s="950"/>
      <c r="Q10" s="950"/>
      <c r="R10" s="950"/>
      <c r="S10" s="940"/>
    </row>
    <row r="11" spans="1:19" ht="21.75" customHeight="1" x14ac:dyDescent="0.35">
      <c r="B11" s="950"/>
      <c r="C11" s="950"/>
      <c r="D11" s="950"/>
      <c r="E11" s="950"/>
      <c r="F11" s="950"/>
      <c r="G11" s="941" t="str">
        <f>B14</f>
        <v>y</v>
      </c>
      <c r="H11" s="1713"/>
      <c r="I11" s="2053" t="s">
        <v>349</v>
      </c>
      <c r="J11" s="2047"/>
      <c r="K11" s="2047"/>
      <c r="L11" s="1713"/>
      <c r="M11" s="1713"/>
      <c r="N11" s="1713"/>
      <c r="O11" s="950"/>
      <c r="P11" s="950"/>
      <c r="Q11" s="950"/>
      <c r="R11" s="950"/>
      <c r="S11" s="940"/>
    </row>
    <row r="12" spans="1:19" ht="10.5" customHeight="1" x14ac:dyDescent="0.35">
      <c r="B12" s="950"/>
      <c r="C12" s="950"/>
      <c r="D12" s="930"/>
      <c r="E12" s="930"/>
      <c r="F12" s="930"/>
      <c r="G12" s="950"/>
      <c r="H12" s="950"/>
      <c r="I12" s="950"/>
      <c r="J12" s="950"/>
      <c r="K12" s="950"/>
      <c r="L12" s="926"/>
      <c r="M12" s="926"/>
      <c r="N12" s="926"/>
      <c r="O12" s="950"/>
      <c r="P12" s="950"/>
      <c r="Q12" s="950"/>
      <c r="R12" s="950"/>
      <c r="S12" s="940"/>
    </row>
    <row r="13" spans="1:19" ht="19.5" customHeight="1" x14ac:dyDescent="0.35">
      <c r="B13" s="956"/>
      <c r="C13" s="956"/>
      <c r="D13" s="930"/>
      <c r="E13" s="930"/>
      <c r="F13" s="930"/>
      <c r="G13" s="929" t="str">
        <f>G10</f>
        <v>x</v>
      </c>
      <c r="H13" s="1713" t="s">
        <v>3</v>
      </c>
      <c r="I13" s="2052" t="s">
        <v>353</v>
      </c>
      <c r="J13" s="2052"/>
      <c r="K13" s="2052"/>
      <c r="L13" s="1713" t="s">
        <v>3</v>
      </c>
      <c r="M13" s="1713" t="s">
        <v>347</v>
      </c>
      <c r="N13" s="1713"/>
      <c r="O13" s="950"/>
      <c r="P13" s="950"/>
      <c r="Q13" s="950"/>
      <c r="R13" s="950"/>
      <c r="S13" s="940"/>
    </row>
    <row r="14" spans="1:19" ht="19.5" customHeight="1" x14ac:dyDescent="0.35">
      <c r="B14" s="956" t="s">
        <v>292</v>
      </c>
      <c r="C14" s="956"/>
      <c r="D14" s="931">
        <f>D8</f>
        <v>10</v>
      </c>
      <c r="E14" s="932"/>
      <c r="F14" s="950"/>
      <c r="G14" s="931">
        <f>D14</f>
        <v>10</v>
      </c>
      <c r="H14" s="1713"/>
      <c r="I14" s="2070" t="s">
        <v>300</v>
      </c>
      <c r="J14" s="2070"/>
      <c r="K14" s="2070"/>
      <c r="L14" s="1713"/>
      <c r="M14" s="1713"/>
      <c r="N14" s="1713"/>
      <c r="O14" s="950"/>
      <c r="P14" s="950"/>
      <c r="Q14" s="950"/>
      <c r="R14" s="950"/>
      <c r="S14" s="940"/>
    </row>
    <row r="15" spans="1:19" ht="19.5" customHeight="1" x14ac:dyDescent="0.35">
      <c r="B15" s="956"/>
      <c r="C15" s="956"/>
      <c r="D15" s="926"/>
      <c r="E15" s="926"/>
      <c r="F15" s="926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40"/>
    </row>
    <row r="16" spans="1:19" ht="19.5" customHeight="1" x14ac:dyDescent="0.35">
      <c r="B16" s="926"/>
      <c r="C16" s="950"/>
      <c r="D16" s="958" t="s">
        <v>22</v>
      </c>
      <c r="E16" s="957"/>
      <c r="F16" s="926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40"/>
    </row>
    <row r="17" spans="2:19" ht="7.5" customHeight="1" thickBot="1" x14ac:dyDescent="0.4">
      <c r="B17" s="957"/>
      <c r="C17" s="957"/>
      <c r="E17" s="957"/>
      <c r="F17" s="926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40"/>
    </row>
    <row r="18" spans="2:19" ht="19.5" customHeight="1" x14ac:dyDescent="0.35">
      <c r="B18" s="937" t="str">
        <f>D16</f>
        <v>x</v>
      </c>
      <c r="C18" s="2073" t="s">
        <v>3</v>
      </c>
      <c r="D18" s="2073"/>
      <c r="E18" s="959" t="str">
        <f>CONCATENATE("sen(",D6,"°)")</f>
        <v>sen(60°)</v>
      </c>
      <c r="F18" s="959"/>
      <c r="G18" s="960"/>
      <c r="H18" s="2028" t="s">
        <v>289</v>
      </c>
      <c r="I18" s="2122" t="s">
        <v>22</v>
      </c>
      <c r="J18" s="2096" t="s">
        <v>3</v>
      </c>
      <c r="K18" s="2026" t="str">
        <f>CONCATENATE(B19, " *",E18)</f>
        <v>10 *sen(60°)</v>
      </c>
      <c r="L18" s="2026"/>
      <c r="M18" s="2125" t="s">
        <v>354</v>
      </c>
      <c r="N18" s="2108" t="str">
        <f>CONCATENATE(B19,"x",ROUND(SIN(D6/180*PI()),3)," = ")</f>
        <v xml:space="preserve">10x0,866 = </v>
      </c>
      <c r="O18" s="2108"/>
      <c r="P18" s="2104">
        <f>B19*ROUND(SIN(D6/180*PI()),4)</f>
        <v>8.66</v>
      </c>
      <c r="Q18" s="2104"/>
      <c r="R18" s="2106"/>
      <c r="S18" s="940"/>
    </row>
    <row r="19" spans="2:19" ht="19.5" customHeight="1" thickBot="1" x14ac:dyDescent="0.4">
      <c r="B19" s="970">
        <f>D14</f>
        <v>10</v>
      </c>
      <c r="C19" s="2077"/>
      <c r="D19" s="2077"/>
      <c r="E19" s="2077">
        <v>1</v>
      </c>
      <c r="F19" s="2077"/>
      <c r="G19" s="944"/>
      <c r="H19" s="2029"/>
      <c r="I19" s="2123"/>
      <c r="J19" s="2097"/>
      <c r="K19" s="2027"/>
      <c r="L19" s="2027"/>
      <c r="M19" s="2126"/>
      <c r="N19" s="2109"/>
      <c r="O19" s="2109"/>
      <c r="P19" s="2029"/>
      <c r="Q19" s="2029"/>
      <c r="R19" s="2107"/>
      <c r="S19" s="940"/>
    </row>
    <row r="20" spans="2:19" ht="19.5" customHeight="1" x14ac:dyDescent="0.35">
      <c r="B20" s="934" t="str">
        <f>B14</f>
        <v>y</v>
      </c>
      <c r="C20" s="2073" t="s">
        <v>3</v>
      </c>
      <c r="D20" s="2073" t="s">
        <v>3</v>
      </c>
      <c r="E20" s="2088" t="str">
        <f>CONCATENATE("cos(",D6,"°)")</f>
        <v>cos(60°)</v>
      </c>
      <c r="F20" s="2088"/>
      <c r="G20" s="2088"/>
      <c r="H20" s="2096" t="s">
        <v>289</v>
      </c>
      <c r="I20" s="2058" t="str">
        <f>B20</f>
        <v>y</v>
      </c>
      <c r="J20" s="2026" t="str">
        <f>C20</f>
        <v>=</v>
      </c>
      <c r="K20" s="2026" t="str">
        <f>CONCATENATE(B21, " *",E20)</f>
        <v>10 *cos(60°)</v>
      </c>
      <c r="L20" s="2026"/>
      <c r="M20" s="2124" t="s">
        <v>355</v>
      </c>
      <c r="N20" s="2108" t="str">
        <f>CONCATENATE(B21,"x",ROUND(COS(D6/180*PI()),3)," = ")</f>
        <v xml:space="preserve">10x0,5 = </v>
      </c>
      <c r="O20" s="2108"/>
      <c r="P20" s="2104">
        <f>B21*ROUND(COS(D6/180*PI()),4)</f>
        <v>5</v>
      </c>
      <c r="Q20" s="2104"/>
      <c r="R20" s="2104"/>
      <c r="S20" s="940"/>
    </row>
    <row r="21" spans="2:19" ht="19.5" customHeight="1" thickBot="1" x14ac:dyDescent="0.4">
      <c r="B21" s="938">
        <f>D14</f>
        <v>10</v>
      </c>
      <c r="C21" s="2077"/>
      <c r="D21" s="2077"/>
      <c r="E21" s="944"/>
      <c r="F21" s="944">
        <v>1</v>
      </c>
      <c r="G21" s="944"/>
      <c r="H21" s="2097"/>
      <c r="I21" s="2102"/>
      <c r="J21" s="2027"/>
      <c r="K21" s="2027"/>
      <c r="L21" s="2027"/>
      <c r="M21" s="2102"/>
      <c r="N21" s="2109"/>
      <c r="O21" s="2109"/>
      <c r="P21" s="2029"/>
      <c r="Q21" s="2029"/>
      <c r="R21" s="2029"/>
      <c r="S21" s="940"/>
    </row>
    <row r="22" spans="2:19" ht="19.5" customHeight="1" x14ac:dyDescent="0.3">
      <c r="B22" s="940"/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S22" s="940"/>
    </row>
    <row r="23" spans="2:19" s="940" customFormat="1" ht="19.5" customHeight="1" x14ac:dyDescent="0.3"/>
    <row r="24" spans="2:19" s="940" customFormat="1" ht="19.5" customHeight="1" x14ac:dyDescent="0.3"/>
    <row r="25" spans="2:19" s="940" customFormat="1" ht="19.5" customHeight="1" x14ac:dyDescent="0.3"/>
    <row r="26" spans="2:19" s="940" customFormat="1" ht="19.5" customHeight="1" x14ac:dyDescent="0.3"/>
    <row r="27" spans="2:19" s="940" customFormat="1" ht="19.5" customHeight="1" x14ac:dyDescent="0.3"/>
    <row r="28" spans="2:19" s="940" customFormat="1" ht="19.5" customHeight="1" x14ac:dyDescent="0.3"/>
    <row r="29" spans="2:19" s="940" customFormat="1" ht="19.5" customHeight="1" x14ac:dyDescent="0.3"/>
    <row r="30" spans="2:19" s="940" customFormat="1" ht="19.5" customHeight="1" x14ac:dyDescent="0.3"/>
    <row r="31" spans="2:19" s="940" customFormat="1" ht="19.5" customHeight="1" x14ac:dyDescent="0.3"/>
    <row r="32" spans="2:19" s="940" customFormat="1" ht="19.5" customHeight="1" x14ac:dyDescent="0.3"/>
    <row r="33" s="940" customFormat="1" ht="18" x14ac:dyDescent="0.3"/>
    <row r="34" s="940" customFormat="1" ht="18" x14ac:dyDescent="0.3"/>
    <row r="35" s="940" customFormat="1" ht="18" x14ac:dyDescent="0.3"/>
    <row r="36" s="940" customFormat="1" ht="18" x14ac:dyDescent="0.3"/>
    <row r="37" s="940" customFormat="1" ht="18" x14ac:dyDescent="0.3"/>
    <row r="38" s="940" customFormat="1" ht="18" x14ac:dyDescent="0.3"/>
    <row r="39" s="940" customFormat="1" ht="18" x14ac:dyDescent="0.3"/>
    <row r="40" s="940" customFormat="1" ht="18" x14ac:dyDescent="0.3"/>
    <row r="41" s="940" customFormat="1" ht="18" x14ac:dyDescent="0.3"/>
    <row r="42" s="940" customFormat="1" ht="18" x14ac:dyDescent="0.3"/>
    <row r="43" s="940" customFormat="1" ht="18" x14ac:dyDescent="0.3"/>
    <row r="44" s="940" customFormat="1" ht="18" x14ac:dyDescent="0.3"/>
    <row r="45" s="940" customFormat="1" ht="18" x14ac:dyDescent="0.3"/>
    <row r="46" s="940" customFormat="1" ht="18" x14ac:dyDescent="0.3"/>
    <row r="47" s="940" customFormat="1" ht="18" x14ac:dyDescent="0.3"/>
    <row r="48" s="940" customFormat="1" ht="18" x14ac:dyDescent="0.3"/>
    <row r="49" s="940" customFormat="1" ht="18" x14ac:dyDescent="0.3"/>
    <row r="50" s="940" customFormat="1" ht="18" x14ac:dyDescent="0.3"/>
    <row r="51" s="940" customFormat="1" ht="18" x14ac:dyDescent="0.3"/>
    <row r="52" s="940" customFormat="1" ht="18" x14ac:dyDescent="0.3"/>
    <row r="53" s="940" customFormat="1" ht="18" x14ac:dyDescent="0.3"/>
    <row r="54" s="940" customFormat="1" ht="18" x14ac:dyDescent="0.3"/>
    <row r="55" s="940" customFormat="1" ht="18" x14ac:dyDescent="0.3"/>
    <row r="56" s="940" customFormat="1" ht="18" x14ac:dyDescent="0.3"/>
    <row r="57" s="940" customFormat="1" ht="18" x14ac:dyDescent="0.3"/>
    <row r="58" s="940" customFormat="1" ht="18" x14ac:dyDescent="0.3"/>
    <row r="59" s="940" customFormat="1" ht="18" x14ac:dyDescent="0.3"/>
    <row r="60" s="940" customFormat="1" ht="18" x14ac:dyDescent="0.3"/>
    <row r="61" s="940" customFormat="1" ht="18" x14ac:dyDescent="0.3"/>
    <row r="62" s="940" customFormat="1" ht="18" x14ac:dyDescent="0.3"/>
    <row r="63" s="940" customFormat="1" ht="18" x14ac:dyDescent="0.3"/>
    <row r="64" s="940" customFormat="1" ht="18" x14ac:dyDescent="0.3"/>
    <row r="65" spans="1:27" s="940" customFormat="1" ht="19.5" customHeight="1" x14ac:dyDescent="0.3"/>
    <row r="66" spans="1:27" s="965" customFormat="1" ht="19.5" customHeight="1" x14ac:dyDescent="0.3">
      <c r="A66" s="964"/>
      <c r="B66" s="964"/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40"/>
      <c r="U66" s="940"/>
      <c r="V66" s="940"/>
      <c r="W66" s="940"/>
      <c r="X66" s="940"/>
      <c r="Y66" s="940"/>
      <c r="Z66" s="940"/>
      <c r="AA66" s="940"/>
    </row>
    <row r="67" spans="1:27" s="965" customFormat="1" ht="19.5" customHeight="1" x14ac:dyDescent="0.3">
      <c r="A67" s="964"/>
      <c r="B67" s="964"/>
      <c r="C67" s="964"/>
      <c r="D67" s="964"/>
      <c r="E67" s="964"/>
      <c r="F67" s="964"/>
      <c r="G67" s="964"/>
      <c r="H67" s="964"/>
      <c r="I67" s="964"/>
      <c r="J67" s="964"/>
      <c r="K67" s="964"/>
      <c r="L67" s="964"/>
      <c r="M67" s="964"/>
      <c r="N67" s="964"/>
      <c r="O67" s="964"/>
      <c r="P67" s="964"/>
      <c r="Q67" s="964"/>
      <c r="R67" s="964"/>
      <c r="S67" s="964"/>
      <c r="T67" s="940"/>
      <c r="U67" s="940"/>
      <c r="V67" s="940"/>
      <c r="W67" s="940"/>
      <c r="X67" s="940"/>
      <c r="Y67" s="940"/>
      <c r="Z67" s="940"/>
      <c r="AA67" s="940"/>
    </row>
    <row r="68" spans="1:27" s="965" customFormat="1" ht="19.5" customHeight="1" x14ac:dyDescent="0.3">
      <c r="A68" s="964"/>
      <c r="B68" s="964"/>
      <c r="C68" s="964"/>
      <c r="D68" s="964"/>
      <c r="E68" s="964"/>
      <c r="F68" s="964"/>
      <c r="G68" s="964"/>
      <c r="H68" s="964"/>
      <c r="I68" s="964"/>
      <c r="J68" s="964"/>
      <c r="K68" s="964"/>
      <c r="L68" s="964"/>
      <c r="M68" s="964"/>
      <c r="N68" s="964"/>
      <c r="O68" s="964"/>
      <c r="P68" s="964"/>
      <c r="Q68" s="964"/>
      <c r="R68" s="964"/>
      <c r="S68" s="964"/>
      <c r="T68" s="940"/>
      <c r="U68" s="940"/>
      <c r="V68" s="940"/>
      <c r="W68" s="940"/>
      <c r="X68" s="940"/>
      <c r="Y68" s="940"/>
      <c r="Z68" s="940"/>
      <c r="AA68" s="940"/>
    </row>
    <row r="69" spans="1:27" s="965" customFormat="1" ht="19.5" customHeight="1" x14ac:dyDescent="0.3">
      <c r="A69" s="964"/>
      <c r="B69" s="964"/>
      <c r="C69" s="964"/>
      <c r="D69" s="964"/>
      <c r="E69" s="964"/>
      <c r="F69" s="964"/>
      <c r="G69" s="964"/>
      <c r="H69" s="964"/>
      <c r="I69" s="964"/>
      <c r="J69" s="964"/>
      <c r="K69" s="964"/>
      <c r="L69" s="964"/>
      <c r="M69" s="964"/>
      <c r="N69" s="964"/>
      <c r="O69" s="964"/>
      <c r="P69" s="964"/>
      <c r="Q69" s="964"/>
      <c r="R69" s="964"/>
      <c r="S69" s="964"/>
      <c r="T69" s="940"/>
      <c r="U69" s="940"/>
      <c r="V69" s="940"/>
      <c r="W69" s="940"/>
      <c r="X69" s="940"/>
      <c r="Y69" s="940"/>
      <c r="Z69" s="940"/>
      <c r="AA69" s="940"/>
    </row>
    <row r="70" spans="1:27" s="965" customFormat="1" ht="19.5" customHeight="1" x14ac:dyDescent="0.3">
      <c r="A70" s="964"/>
      <c r="B70" s="964"/>
      <c r="C70" s="964"/>
      <c r="D70" s="964"/>
      <c r="E70" s="964"/>
      <c r="F70" s="964"/>
      <c r="G70" s="964"/>
      <c r="H70" s="964"/>
      <c r="I70" s="964"/>
      <c r="J70" s="964"/>
      <c r="K70" s="964"/>
      <c r="L70" s="964"/>
      <c r="M70" s="964"/>
      <c r="N70" s="964"/>
      <c r="O70" s="964"/>
      <c r="P70" s="964"/>
      <c r="Q70" s="964"/>
      <c r="R70" s="964"/>
      <c r="S70" s="964"/>
      <c r="T70" s="940"/>
      <c r="U70" s="940"/>
      <c r="V70" s="940"/>
      <c r="W70" s="940"/>
      <c r="X70" s="940"/>
      <c r="Y70" s="940"/>
      <c r="Z70" s="940"/>
      <c r="AA70" s="940"/>
    </row>
    <row r="71" spans="1:27" s="965" customFormat="1" ht="19.5" customHeight="1" x14ac:dyDescent="0.3">
      <c r="A71" s="964"/>
      <c r="B71" s="964"/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40"/>
      <c r="U71" s="940"/>
      <c r="V71" s="940"/>
      <c r="W71" s="940"/>
      <c r="X71" s="940"/>
      <c r="Y71" s="940"/>
      <c r="Z71" s="940"/>
      <c r="AA71" s="940"/>
    </row>
    <row r="72" spans="1:27" s="965" customFormat="1" ht="19.5" customHeight="1" x14ac:dyDescent="0.3">
      <c r="A72" s="964"/>
      <c r="B72" s="964"/>
      <c r="C72" s="964"/>
      <c r="D72" s="964"/>
      <c r="E72" s="964"/>
      <c r="F72" s="964"/>
      <c r="G72" s="964"/>
      <c r="H72" s="964"/>
      <c r="I72" s="964"/>
      <c r="J72" s="964"/>
      <c r="K72" s="964"/>
      <c r="L72" s="964"/>
      <c r="M72" s="964"/>
      <c r="N72" s="964"/>
      <c r="O72" s="964"/>
      <c r="P72" s="964"/>
      <c r="Q72" s="964"/>
      <c r="R72" s="964"/>
      <c r="S72" s="964"/>
      <c r="T72" s="940"/>
      <c r="U72" s="940"/>
      <c r="V72" s="940"/>
      <c r="W72" s="940"/>
      <c r="X72" s="940"/>
      <c r="Y72" s="940"/>
      <c r="Z72" s="940"/>
      <c r="AA72" s="940"/>
    </row>
    <row r="73" spans="1:27" s="965" customFormat="1" ht="19.5" customHeight="1" x14ac:dyDescent="0.3">
      <c r="A73" s="964"/>
      <c r="B73" s="964"/>
      <c r="C73" s="964"/>
      <c r="D73" s="964"/>
      <c r="E73" s="964"/>
      <c r="F73" s="964"/>
      <c r="G73" s="964"/>
      <c r="H73" s="964"/>
      <c r="I73" s="964"/>
      <c r="J73" s="964"/>
      <c r="K73" s="964"/>
      <c r="L73" s="964"/>
      <c r="M73" s="964"/>
      <c r="N73" s="964"/>
      <c r="O73" s="964"/>
      <c r="P73" s="964"/>
      <c r="Q73" s="964"/>
      <c r="R73" s="964"/>
      <c r="S73" s="964"/>
      <c r="T73" s="940"/>
      <c r="U73" s="940"/>
      <c r="V73" s="940"/>
      <c r="W73" s="940"/>
      <c r="X73" s="940"/>
      <c r="Y73" s="940"/>
      <c r="Z73" s="940"/>
      <c r="AA73" s="940"/>
    </row>
    <row r="74" spans="1:27" s="965" customFormat="1" ht="19.5" customHeight="1" x14ac:dyDescent="0.3">
      <c r="A74" s="964"/>
      <c r="B74" s="964"/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40"/>
      <c r="U74" s="940"/>
      <c r="V74" s="940"/>
      <c r="W74" s="940"/>
      <c r="X74" s="940"/>
      <c r="Y74" s="940"/>
      <c r="Z74" s="940"/>
      <c r="AA74" s="940"/>
    </row>
    <row r="75" spans="1:27" s="965" customFormat="1" ht="19.5" customHeight="1" x14ac:dyDescent="0.3">
      <c r="A75" s="964"/>
      <c r="B75" s="964"/>
      <c r="C75" s="964"/>
      <c r="D75" s="964"/>
      <c r="E75" s="964"/>
      <c r="F75" s="964"/>
      <c r="G75" s="964"/>
      <c r="H75" s="964"/>
      <c r="I75" s="964"/>
      <c r="J75" s="964"/>
      <c r="K75" s="964"/>
      <c r="L75" s="964"/>
      <c r="M75" s="964"/>
      <c r="N75" s="964"/>
      <c r="O75" s="964"/>
      <c r="P75" s="964"/>
      <c r="Q75" s="964"/>
      <c r="R75" s="964"/>
      <c r="S75" s="964"/>
      <c r="T75" s="940"/>
      <c r="U75" s="940"/>
      <c r="V75" s="940"/>
      <c r="W75" s="940"/>
      <c r="X75" s="940"/>
      <c r="Y75" s="940"/>
      <c r="Z75" s="940"/>
      <c r="AA75" s="940"/>
    </row>
    <row r="76" spans="1:27" s="965" customFormat="1" ht="19.5" customHeight="1" x14ac:dyDescent="0.3">
      <c r="A76" s="964"/>
      <c r="B76" s="964"/>
      <c r="C76" s="964"/>
      <c r="D76" s="964"/>
      <c r="E76" s="964"/>
      <c r="F76" s="964"/>
      <c r="G76" s="964"/>
      <c r="H76" s="964"/>
      <c r="I76" s="964"/>
      <c r="J76" s="964"/>
      <c r="K76" s="964"/>
      <c r="L76" s="964"/>
      <c r="M76" s="964"/>
      <c r="N76" s="964"/>
      <c r="O76" s="964"/>
      <c r="P76" s="964"/>
      <c r="Q76" s="964"/>
      <c r="R76" s="964"/>
      <c r="S76" s="964"/>
      <c r="T76" s="940"/>
      <c r="U76" s="940"/>
      <c r="V76" s="940"/>
      <c r="W76" s="940"/>
      <c r="X76" s="940"/>
      <c r="Y76" s="940"/>
      <c r="Z76" s="940"/>
      <c r="AA76" s="940"/>
    </row>
    <row r="77" spans="1:27" s="965" customFormat="1" ht="19.5" customHeight="1" x14ac:dyDescent="0.3">
      <c r="A77" s="964"/>
      <c r="B77" s="964"/>
      <c r="C77" s="964"/>
      <c r="D77" s="964"/>
      <c r="E77" s="964"/>
      <c r="F77" s="964"/>
      <c r="G77" s="964"/>
      <c r="H77" s="964"/>
      <c r="I77" s="964"/>
      <c r="J77" s="964"/>
      <c r="K77" s="964"/>
      <c r="L77" s="964"/>
      <c r="M77" s="964"/>
      <c r="N77" s="964"/>
      <c r="O77" s="964"/>
      <c r="P77" s="964"/>
      <c r="Q77" s="964"/>
      <c r="R77" s="964"/>
      <c r="S77" s="964"/>
      <c r="T77" s="940"/>
      <c r="U77" s="940"/>
      <c r="V77" s="940"/>
      <c r="W77" s="940"/>
      <c r="X77" s="940"/>
      <c r="Y77" s="940"/>
      <c r="Z77" s="940"/>
      <c r="AA77" s="940"/>
    </row>
    <row r="78" spans="1:27" s="965" customFormat="1" ht="19.5" customHeight="1" x14ac:dyDescent="0.3">
      <c r="A78" s="964"/>
      <c r="B78" s="964"/>
      <c r="C78" s="964"/>
      <c r="D78" s="964"/>
      <c r="E78" s="964"/>
      <c r="F78" s="964"/>
      <c r="G78" s="964"/>
      <c r="H78" s="964"/>
      <c r="I78" s="964"/>
      <c r="J78" s="964"/>
      <c r="K78" s="964"/>
      <c r="L78" s="964"/>
      <c r="M78" s="964"/>
      <c r="N78" s="964"/>
      <c r="O78" s="964"/>
      <c r="P78" s="964"/>
      <c r="Q78" s="964"/>
      <c r="R78" s="964"/>
      <c r="S78" s="964"/>
      <c r="T78" s="940"/>
      <c r="U78" s="940"/>
      <c r="V78" s="940"/>
      <c r="W78" s="940"/>
      <c r="X78" s="940"/>
      <c r="Y78" s="940"/>
      <c r="Z78" s="940"/>
      <c r="AA78" s="940"/>
    </row>
    <row r="79" spans="1:27" s="965" customFormat="1" ht="19.5" customHeight="1" x14ac:dyDescent="0.3">
      <c r="A79" s="964"/>
      <c r="B79" s="964"/>
      <c r="C79" s="964"/>
      <c r="D79" s="964"/>
      <c r="E79" s="964"/>
      <c r="F79" s="964"/>
      <c r="G79" s="964"/>
      <c r="H79" s="964"/>
      <c r="I79" s="964"/>
      <c r="J79" s="964"/>
      <c r="K79" s="964"/>
      <c r="L79" s="964"/>
      <c r="M79" s="964"/>
      <c r="N79" s="964"/>
      <c r="O79" s="964"/>
      <c r="P79" s="964"/>
      <c r="Q79" s="964"/>
      <c r="R79" s="964"/>
      <c r="S79" s="964"/>
      <c r="T79" s="940"/>
      <c r="U79" s="940"/>
      <c r="V79" s="940"/>
      <c r="W79" s="940"/>
      <c r="X79" s="940"/>
      <c r="Y79" s="940"/>
      <c r="Z79" s="940"/>
      <c r="AA79" s="940"/>
    </row>
    <row r="80" spans="1:27" s="965" customFormat="1" ht="19.5" customHeight="1" x14ac:dyDescent="0.3">
      <c r="A80" s="964"/>
      <c r="B80" s="964"/>
      <c r="C80" s="964"/>
      <c r="D80" s="964"/>
      <c r="E80" s="964"/>
      <c r="F80" s="964"/>
      <c r="G80" s="964"/>
      <c r="H80" s="964"/>
      <c r="I80" s="964"/>
      <c r="J80" s="964"/>
      <c r="K80" s="964"/>
      <c r="L80" s="964"/>
      <c r="M80" s="964"/>
      <c r="N80" s="964"/>
      <c r="O80" s="964"/>
      <c r="P80" s="964"/>
      <c r="Q80" s="964"/>
      <c r="R80" s="964"/>
      <c r="S80" s="964"/>
      <c r="T80" s="940"/>
      <c r="U80" s="940"/>
      <c r="V80" s="940"/>
      <c r="W80" s="940"/>
      <c r="X80" s="940"/>
      <c r="Y80" s="940"/>
      <c r="Z80" s="940"/>
      <c r="AA80" s="940"/>
    </row>
    <row r="81" spans="1:27" s="965" customFormat="1" ht="19.5" customHeight="1" x14ac:dyDescent="0.3">
      <c r="A81" s="964"/>
      <c r="B81" s="964"/>
      <c r="C81" s="964"/>
      <c r="D81" s="964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40"/>
      <c r="U81" s="940"/>
      <c r="V81" s="940"/>
      <c r="W81" s="940"/>
      <c r="X81" s="940"/>
      <c r="Y81" s="940"/>
      <c r="Z81" s="940"/>
      <c r="AA81" s="940"/>
    </row>
    <row r="82" spans="1:27" s="965" customFormat="1" ht="19.5" customHeight="1" x14ac:dyDescent="0.3">
      <c r="A82" s="964"/>
      <c r="B82" s="964"/>
      <c r="C82" s="964"/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40"/>
      <c r="U82" s="940"/>
      <c r="V82" s="940"/>
      <c r="W82" s="940"/>
      <c r="X82" s="940"/>
      <c r="Y82" s="940"/>
      <c r="Z82" s="940"/>
      <c r="AA82" s="940"/>
    </row>
    <row r="83" spans="1:27" s="965" customFormat="1" ht="19.5" customHeight="1" x14ac:dyDescent="0.3">
      <c r="A83" s="964"/>
      <c r="B83" s="964"/>
      <c r="C83" s="964"/>
      <c r="D83" s="964"/>
      <c r="E83" s="964"/>
      <c r="F83" s="964"/>
      <c r="G83" s="964"/>
      <c r="H83" s="964"/>
      <c r="I83" s="964"/>
      <c r="J83" s="964"/>
      <c r="K83" s="964"/>
      <c r="L83" s="964"/>
      <c r="M83" s="964"/>
      <c r="N83" s="964"/>
      <c r="O83" s="964"/>
      <c r="P83" s="964"/>
      <c r="Q83" s="964"/>
      <c r="R83" s="964"/>
      <c r="S83" s="964"/>
      <c r="T83" s="940"/>
      <c r="U83" s="940"/>
      <c r="V83" s="940"/>
      <c r="W83" s="940"/>
      <c r="X83" s="940"/>
      <c r="Y83" s="940"/>
      <c r="Z83" s="940"/>
      <c r="AA83" s="940"/>
    </row>
    <row r="84" spans="1:27" s="965" customFormat="1" ht="19.5" customHeight="1" x14ac:dyDescent="0.3">
      <c r="A84" s="964"/>
      <c r="B84" s="964"/>
      <c r="C84" s="964"/>
      <c r="D84" s="964"/>
      <c r="E84" s="964"/>
      <c r="F84" s="964"/>
      <c r="G84" s="964"/>
      <c r="H84" s="964"/>
      <c r="I84" s="964"/>
      <c r="J84" s="964"/>
      <c r="K84" s="964"/>
      <c r="L84" s="964"/>
      <c r="M84" s="964"/>
      <c r="N84" s="964"/>
      <c r="O84" s="964"/>
      <c r="P84" s="964"/>
      <c r="Q84" s="964"/>
      <c r="R84" s="964"/>
      <c r="S84" s="964"/>
      <c r="T84" s="940"/>
      <c r="U84" s="940"/>
      <c r="V84" s="940"/>
      <c r="W84" s="940"/>
      <c r="X84" s="940"/>
      <c r="Y84" s="940"/>
      <c r="Z84" s="940"/>
      <c r="AA84" s="940"/>
    </row>
    <row r="85" spans="1:27" s="965" customFormat="1" ht="19.5" customHeight="1" x14ac:dyDescent="0.3">
      <c r="A85" s="964"/>
      <c r="B85" s="964"/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40"/>
      <c r="U85" s="940"/>
      <c r="V85" s="940"/>
      <c r="W85" s="940"/>
      <c r="X85" s="940"/>
      <c r="Y85" s="940"/>
      <c r="Z85" s="940"/>
      <c r="AA85" s="940"/>
    </row>
    <row r="86" spans="1:27" s="965" customFormat="1" ht="19.5" customHeight="1" x14ac:dyDescent="0.3">
      <c r="A86" s="964"/>
      <c r="B86" s="964"/>
      <c r="C86" s="964"/>
      <c r="D86" s="964"/>
      <c r="E86" s="964"/>
      <c r="F86" s="964"/>
      <c r="G86" s="964"/>
      <c r="H86" s="964"/>
      <c r="I86" s="964"/>
      <c r="J86" s="964"/>
      <c r="K86" s="964"/>
      <c r="L86" s="964"/>
      <c r="M86" s="964"/>
      <c r="N86" s="964"/>
      <c r="O86" s="964"/>
      <c r="P86" s="964"/>
      <c r="Q86" s="964"/>
      <c r="R86" s="964"/>
      <c r="S86" s="964"/>
      <c r="T86" s="940"/>
      <c r="U86" s="940"/>
      <c r="V86" s="940"/>
      <c r="W86" s="940"/>
      <c r="X86" s="940"/>
      <c r="Y86" s="940"/>
      <c r="Z86" s="940"/>
      <c r="AA86" s="940"/>
    </row>
    <row r="87" spans="1:27" s="965" customFormat="1" ht="19.5" customHeight="1" x14ac:dyDescent="0.3">
      <c r="A87" s="964"/>
      <c r="B87" s="964"/>
      <c r="C87" s="964"/>
      <c r="D87" s="964"/>
      <c r="E87" s="964"/>
      <c r="F87" s="964"/>
      <c r="G87" s="964"/>
      <c r="H87" s="964"/>
      <c r="I87" s="964"/>
      <c r="J87" s="964"/>
      <c r="K87" s="964"/>
      <c r="L87" s="964"/>
      <c r="M87" s="964"/>
      <c r="N87" s="964"/>
      <c r="O87" s="964"/>
      <c r="P87" s="964"/>
      <c r="Q87" s="964"/>
      <c r="R87" s="964"/>
      <c r="S87" s="964"/>
      <c r="T87" s="940"/>
      <c r="U87" s="940"/>
      <c r="V87" s="940"/>
      <c r="W87" s="940"/>
      <c r="X87" s="940"/>
      <c r="Y87" s="940"/>
      <c r="Z87" s="940"/>
      <c r="AA87" s="940"/>
    </row>
    <row r="88" spans="1:27" s="965" customFormat="1" ht="19.5" customHeight="1" x14ac:dyDescent="0.3">
      <c r="A88" s="964"/>
      <c r="B88" s="964"/>
      <c r="C88" s="964"/>
      <c r="D88" s="964"/>
      <c r="E88" s="964"/>
      <c r="F88" s="964"/>
      <c r="G88" s="964"/>
      <c r="H88" s="964"/>
      <c r="I88" s="964"/>
      <c r="J88" s="964"/>
      <c r="K88" s="964"/>
      <c r="L88" s="964"/>
      <c r="M88" s="964"/>
      <c r="N88" s="964"/>
      <c r="O88" s="964"/>
      <c r="P88" s="964"/>
      <c r="Q88" s="964"/>
      <c r="R88" s="964"/>
      <c r="S88" s="964"/>
      <c r="T88" s="940"/>
      <c r="U88" s="940"/>
      <c r="V88" s="940"/>
      <c r="W88" s="940"/>
      <c r="X88" s="940"/>
      <c r="Y88" s="940"/>
      <c r="Z88" s="940"/>
      <c r="AA88" s="940"/>
    </row>
    <row r="89" spans="1:27" s="965" customFormat="1" ht="19.5" customHeight="1" x14ac:dyDescent="0.3">
      <c r="A89" s="964"/>
      <c r="B89" s="964"/>
      <c r="C89" s="964"/>
      <c r="D89" s="964"/>
      <c r="E89" s="964"/>
      <c r="F89" s="964"/>
      <c r="G89" s="964"/>
      <c r="H89" s="964"/>
      <c r="I89" s="964"/>
      <c r="J89" s="964"/>
      <c r="K89" s="964"/>
      <c r="L89" s="964"/>
      <c r="M89" s="964"/>
      <c r="N89" s="964"/>
      <c r="O89" s="964"/>
      <c r="P89" s="964"/>
      <c r="Q89" s="964"/>
      <c r="R89" s="964"/>
      <c r="S89" s="964"/>
      <c r="T89" s="940"/>
      <c r="U89" s="940"/>
      <c r="V89" s="940"/>
      <c r="W89" s="940"/>
      <c r="X89" s="940"/>
      <c r="Y89" s="940"/>
      <c r="Z89" s="940"/>
      <c r="AA89" s="940"/>
    </row>
    <row r="90" spans="1:27" s="965" customFormat="1" ht="19.5" customHeight="1" x14ac:dyDescent="0.3">
      <c r="A90" s="964"/>
      <c r="B90" s="964"/>
      <c r="C90" s="964"/>
      <c r="D90" s="964"/>
      <c r="E90" s="964"/>
      <c r="F90" s="964"/>
      <c r="G90" s="964"/>
      <c r="H90" s="964"/>
      <c r="I90" s="964"/>
      <c r="J90" s="964"/>
      <c r="K90" s="964"/>
      <c r="L90" s="964"/>
      <c r="M90" s="964"/>
      <c r="N90" s="964"/>
      <c r="O90" s="964"/>
      <c r="P90" s="964"/>
      <c r="Q90" s="964"/>
      <c r="R90" s="964"/>
      <c r="S90" s="964"/>
      <c r="T90" s="940"/>
      <c r="U90" s="940"/>
      <c r="V90" s="940"/>
      <c r="W90" s="940"/>
      <c r="X90" s="940"/>
      <c r="Y90" s="940"/>
      <c r="Z90" s="940"/>
      <c r="AA90" s="940"/>
    </row>
    <row r="91" spans="1:27" ht="19.5" customHeight="1" x14ac:dyDescent="0.3">
      <c r="S91" s="940"/>
    </row>
    <row r="92" spans="1:27" ht="19.5" customHeight="1" x14ac:dyDescent="0.3">
      <c r="S92" s="940"/>
    </row>
  </sheetData>
  <mergeCells count="36">
    <mergeCell ref="K20:L21"/>
    <mergeCell ref="M20:M21"/>
    <mergeCell ref="N20:O21"/>
    <mergeCell ref="P20:R21"/>
    <mergeCell ref="M10:N11"/>
    <mergeCell ref="I11:K11"/>
    <mergeCell ref="K18:L19"/>
    <mergeCell ref="M18:M19"/>
    <mergeCell ref="N18:O19"/>
    <mergeCell ref="P18:R19"/>
    <mergeCell ref="L13:L14"/>
    <mergeCell ref="M13:N14"/>
    <mergeCell ref="I14:K14"/>
    <mergeCell ref="D6:E6"/>
    <mergeCell ref="H6:H7"/>
    <mergeCell ref="I6:K6"/>
    <mergeCell ref="L6:L7"/>
    <mergeCell ref="M6:N7"/>
    <mergeCell ref="G7:G8"/>
    <mergeCell ref="I7:K8"/>
    <mergeCell ref="H10:H11"/>
    <mergeCell ref="D8:E8"/>
    <mergeCell ref="I10:K10"/>
    <mergeCell ref="L10:L11"/>
    <mergeCell ref="C20:D21"/>
    <mergeCell ref="E20:G20"/>
    <mergeCell ref="H20:H21"/>
    <mergeCell ref="I20:I21"/>
    <mergeCell ref="J20:J21"/>
    <mergeCell ref="C18:D19"/>
    <mergeCell ref="H18:H19"/>
    <mergeCell ref="I18:I19"/>
    <mergeCell ref="J18:J19"/>
    <mergeCell ref="I13:K13"/>
    <mergeCell ref="H13:H14"/>
    <mergeCell ref="E19:F1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E142"/>
  <sheetViews>
    <sheetView workbookViewId="0">
      <selection activeCell="R14" sqref="R14"/>
    </sheetView>
  </sheetViews>
  <sheetFormatPr defaultColWidth="9" defaultRowHeight="15.6" x14ac:dyDescent="0.3"/>
  <cols>
    <col min="1" max="1" width="4.09765625" style="828" customWidth="1"/>
    <col min="2" max="2" width="2.59765625" style="824" customWidth="1"/>
    <col min="3" max="5" width="5.59765625" style="828" customWidth="1"/>
    <col min="6" max="7" width="9" style="828"/>
    <col min="8" max="8" width="6.19921875" style="828" customWidth="1"/>
    <col min="9" max="9" width="6.09765625" style="828" customWidth="1"/>
    <col min="10" max="10" width="5.59765625" style="828" hidden="1" customWidth="1"/>
    <col min="11" max="11" width="12.19921875" style="828" customWidth="1"/>
    <col min="12" max="12" width="9" style="828"/>
    <col min="13" max="13" width="5.69921875" style="828" customWidth="1"/>
    <col min="14" max="14" width="8.69921875" style="828" customWidth="1"/>
    <col min="15" max="16" width="4.5" style="828" customWidth="1"/>
    <col min="17" max="17" width="6.19921875" style="828" customWidth="1"/>
    <col min="18" max="18" width="10.09765625" style="828" customWidth="1"/>
    <col min="19" max="19" width="2.69921875" style="828" customWidth="1"/>
    <col min="20" max="16384" width="9" style="828"/>
  </cols>
  <sheetData>
    <row r="1" spans="1:31" x14ac:dyDescent="0.3">
      <c r="B1" s="828"/>
    </row>
    <row r="2" spans="1:31" s="824" customFormat="1" ht="25.5" customHeight="1" x14ac:dyDescent="0.3">
      <c r="A2" s="828"/>
      <c r="C2" s="825" t="str">
        <f>Inicio!J6</f>
        <v>Estudante</v>
      </c>
      <c r="D2" s="825"/>
      <c r="E2" s="826"/>
      <c r="F2" s="825" t="s">
        <v>256</v>
      </c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7"/>
      <c r="U2" s="827"/>
      <c r="V2" s="827"/>
      <c r="W2" s="828"/>
      <c r="X2" s="828"/>
      <c r="Y2" s="828"/>
      <c r="Z2" s="828"/>
      <c r="AA2" s="828"/>
      <c r="AB2" s="828"/>
      <c r="AC2" s="828"/>
      <c r="AD2" s="828"/>
      <c r="AE2" s="828"/>
    </row>
    <row r="3" spans="1:31" x14ac:dyDescent="0.3">
      <c r="S3" s="826"/>
    </row>
    <row r="4" spans="1:31" x14ac:dyDescent="0.3">
      <c r="S4" s="826"/>
    </row>
    <row r="5" spans="1:31" x14ac:dyDescent="0.3">
      <c r="Q5" s="829"/>
      <c r="R5" s="829"/>
      <c r="S5" s="826"/>
    </row>
    <row r="6" spans="1:31" ht="12.75" customHeight="1" x14ac:dyDescent="0.3">
      <c r="Q6" s="829"/>
      <c r="R6" s="829"/>
      <c r="S6" s="826"/>
    </row>
    <row r="7" spans="1:31" ht="7.2" customHeight="1" x14ac:dyDescent="0.3">
      <c r="Q7" s="829"/>
      <c r="R7" s="829"/>
      <c r="S7" s="826"/>
    </row>
    <row r="8" spans="1:31" ht="8.4" customHeight="1" thickBot="1" x14ac:dyDescent="0.35">
      <c r="Q8" s="829"/>
      <c r="R8" s="829"/>
      <c r="S8" s="826"/>
    </row>
    <row r="9" spans="1:31" ht="18.75" customHeight="1" thickBot="1" x14ac:dyDescent="0.35">
      <c r="K9" s="1" t="s">
        <v>458</v>
      </c>
      <c r="L9" s="830">
        <f>L12/3</f>
        <v>3.1</v>
      </c>
      <c r="M9" s="828" t="s">
        <v>264</v>
      </c>
      <c r="N9" s="1453">
        <f>L9/100</f>
        <v>3.1E-2</v>
      </c>
      <c r="O9" s="832" t="s">
        <v>265</v>
      </c>
      <c r="P9" s="861" t="s">
        <v>317</v>
      </c>
      <c r="Q9" s="862">
        <f>N9/2</f>
        <v>1.55E-2</v>
      </c>
      <c r="R9" s="829"/>
      <c r="S9" s="826"/>
    </row>
    <row r="10" spans="1:31" ht="18.75" customHeight="1" thickBot="1" x14ac:dyDescent="0.35">
      <c r="K10" s="828" t="s">
        <v>309</v>
      </c>
      <c r="L10" s="834">
        <f>L12*3</f>
        <v>27.900000000000002</v>
      </c>
      <c r="M10" s="828" t="s">
        <v>264</v>
      </c>
      <c r="N10" s="1453">
        <f t="shared" ref="N10:N12" si="0">L10/100</f>
        <v>0.27900000000000003</v>
      </c>
      <c r="O10" s="832" t="s">
        <v>265</v>
      </c>
      <c r="P10" s="832"/>
      <c r="Q10" s="829"/>
      <c r="R10" s="829"/>
      <c r="S10" s="826"/>
    </row>
    <row r="11" spans="1:31" ht="18.75" customHeight="1" thickBot="1" x14ac:dyDescent="0.35">
      <c r="I11" s="840"/>
      <c r="K11" s="828" t="s">
        <v>308</v>
      </c>
      <c r="L11" s="834">
        <f>L12*2</f>
        <v>18.600000000000001</v>
      </c>
      <c r="M11" s="828" t="s">
        <v>264</v>
      </c>
      <c r="N11" s="1453">
        <f t="shared" si="0"/>
        <v>0.18600000000000003</v>
      </c>
      <c r="O11" s="832" t="s">
        <v>265</v>
      </c>
      <c r="P11" s="832"/>
      <c r="Q11" s="829"/>
      <c r="R11" s="829"/>
      <c r="S11" s="826"/>
    </row>
    <row r="12" spans="1:31" ht="18.75" customHeight="1" x14ac:dyDescent="0.3">
      <c r="K12" s="1" t="s">
        <v>456</v>
      </c>
      <c r="L12" s="1452">
        <v>9.3000000000000007</v>
      </c>
      <c r="M12" s="828" t="s">
        <v>264</v>
      </c>
      <c r="N12" s="1453">
        <f t="shared" si="0"/>
        <v>9.3000000000000013E-2</v>
      </c>
      <c r="O12" s="832" t="s">
        <v>265</v>
      </c>
      <c r="P12" s="832"/>
      <c r="Q12" s="829"/>
      <c r="R12" s="829"/>
      <c r="S12" s="826"/>
    </row>
    <row r="13" spans="1:31" ht="18.75" customHeight="1" x14ac:dyDescent="0.3">
      <c r="J13" s="1498" t="s">
        <v>457</v>
      </c>
      <c r="K13" s="1507"/>
      <c r="L13" s="889">
        <v>1757</v>
      </c>
      <c r="M13" s="828" t="s">
        <v>270</v>
      </c>
      <c r="N13" s="1454">
        <f>L13</f>
        <v>1757</v>
      </c>
      <c r="O13" s="832" t="str">
        <f>M13</f>
        <v>kg/m³</v>
      </c>
      <c r="P13" s="832"/>
      <c r="Q13" s="829"/>
      <c r="R13" s="829"/>
      <c r="S13" s="826"/>
    </row>
    <row r="14" spans="1:31" ht="18.75" customHeight="1" x14ac:dyDescent="0.3">
      <c r="J14" s="828" t="s">
        <v>304</v>
      </c>
      <c r="K14" s="1" t="s">
        <v>454</v>
      </c>
      <c r="L14" s="889">
        <v>6</v>
      </c>
      <c r="M14" s="828" t="s">
        <v>305</v>
      </c>
      <c r="R14" s="829"/>
      <c r="S14" s="826"/>
    </row>
    <row r="15" spans="1:31" ht="18.75" customHeight="1" x14ac:dyDescent="0.3">
      <c r="C15" s="874" t="s">
        <v>318</v>
      </c>
      <c r="D15" s="868"/>
      <c r="E15" s="868"/>
      <c r="F15" s="868"/>
      <c r="G15" s="868"/>
      <c r="H15" s="867" t="str">
        <f>CONCATENATE(N10,"m x",N11,"m x",N12,"m     =  ")</f>
        <v xml:space="preserve">0,279m x0,186m x0,093m     =  </v>
      </c>
      <c r="I15" s="867"/>
      <c r="J15" s="867"/>
      <c r="K15" s="867"/>
      <c r="L15" s="875"/>
      <c r="M15" s="1508">
        <f>N10*N11*N12</f>
        <v>4.8261420000000011E-3</v>
      </c>
      <c r="N15" s="1508"/>
      <c r="O15" s="868" t="s">
        <v>263</v>
      </c>
      <c r="P15" s="868"/>
      <c r="Q15" s="868"/>
      <c r="R15" s="869"/>
      <c r="S15" s="826"/>
    </row>
    <row r="16" spans="1:31" ht="18.75" customHeight="1" x14ac:dyDescent="0.3">
      <c r="C16" s="845" t="str">
        <f>CONCATENATE("2º  Volume de 4 cilindros: 4 x( 3,14x(",N9,"/2)² x ",N12,") = ")</f>
        <v xml:space="preserve">2º  Volume de 4 cilindros: 4 x( 3,14x(0,031/2)² x 0,093) = </v>
      </c>
      <c r="D16" s="845"/>
      <c r="E16" s="845"/>
      <c r="F16" s="845"/>
      <c r="G16" s="845"/>
      <c r="H16" s="845"/>
      <c r="I16" s="845"/>
      <c r="J16" s="845"/>
      <c r="K16" s="845"/>
      <c r="L16" s="845"/>
      <c r="M16" s="1509">
        <f>4*(3.14*(N9/2)^2*N12)</f>
        <v>2.8063122000000003E-4</v>
      </c>
      <c r="N16" s="1509"/>
      <c r="O16" s="844" t="s">
        <v>263</v>
      </c>
      <c r="P16" s="844"/>
      <c r="Q16" s="844"/>
      <c r="R16" s="870"/>
      <c r="S16" s="826"/>
    </row>
    <row r="17" spans="2:19" ht="18.75" customHeight="1" x14ac:dyDescent="0.3">
      <c r="C17" s="872" t="s">
        <v>310</v>
      </c>
      <c r="D17" s="872"/>
      <c r="E17" s="872"/>
      <c r="F17" s="872"/>
      <c r="G17" s="872"/>
      <c r="H17" s="872"/>
      <c r="I17" s="872"/>
      <c r="J17" s="872"/>
      <c r="K17" s="872"/>
      <c r="L17" s="873"/>
      <c r="M17" s="1510">
        <f>M15-M16</f>
        <v>4.5455107800000012E-3</v>
      </c>
      <c r="N17" s="1510"/>
      <c r="O17" s="872" t="s">
        <v>263</v>
      </c>
      <c r="P17" s="872"/>
      <c r="Q17" s="872"/>
      <c r="R17" s="872"/>
      <c r="S17" s="826"/>
    </row>
    <row r="18" spans="2:19" ht="18.75" customHeight="1" x14ac:dyDescent="0.3">
      <c r="C18" s="822" t="s">
        <v>315</v>
      </c>
      <c r="D18" s="846"/>
      <c r="E18" s="846"/>
      <c r="F18" s="846"/>
      <c r="G18" s="846"/>
      <c r="H18" s="846"/>
      <c r="I18" s="846"/>
      <c r="J18" s="846"/>
      <c r="K18" s="846"/>
      <c r="L18" s="846"/>
      <c r="M18" s="1503">
        <f>L14*M17*L13</f>
        <v>47.918774642760013</v>
      </c>
      <c r="N18" s="1503"/>
      <c r="O18" s="847" t="s">
        <v>270</v>
      </c>
      <c r="P18" s="847"/>
      <c r="Q18" s="848" t="s">
        <v>311</v>
      </c>
      <c r="R18" s="863"/>
      <c r="S18" s="826"/>
    </row>
    <row r="19" spans="2:19" x14ac:dyDescent="0.3">
      <c r="S19" s="826"/>
    </row>
    <row r="20" spans="2:19" x14ac:dyDescent="0.3"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824"/>
    </row>
    <row r="21" spans="2:19" x14ac:dyDescent="0.3">
      <c r="B21" s="828"/>
    </row>
    <row r="22" spans="2:19" x14ac:dyDescent="0.3">
      <c r="B22" s="828"/>
    </row>
    <row r="23" spans="2:19" x14ac:dyDescent="0.3">
      <c r="B23" s="828"/>
    </row>
    <row r="24" spans="2:19" x14ac:dyDescent="0.3">
      <c r="B24" s="828"/>
    </row>
    <row r="25" spans="2:19" x14ac:dyDescent="0.3">
      <c r="B25" s="828"/>
    </row>
    <row r="26" spans="2:19" x14ac:dyDescent="0.3">
      <c r="B26" s="828"/>
    </row>
    <row r="27" spans="2:19" x14ac:dyDescent="0.3">
      <c r="B27" s="828"/>
    </row>
    <row r="28" spans="2:19" x14ac:dyDescent="0.3">
      <c r="B28" s="828"/>
    </row>
    <row r="29" spans="2:19" x14ac:dyDescent="0.3">
      <c r="B29" s="828"/>
    </row>
    <row r="30" spans="2:19" x14ac:dyDescent="0.3">
      <c r="B30" s="828"/>
    </row>
    <row r="31" spans="2:19" x14ac:dyDescent="0.3">
      <c r="B31" s="828"/>
    </row>
    <row r="32" spans="2:19" x14ac:dyDescent="0.3">
      <c r="B32" s="828"/>
    </row>
    <row r="33" spans="2:2" x14ac:dyDescent="0.3">
      <c r="B33" s="828"/>
    </row>
    <row r="34" spans="2:2" x14ac:dyDescent="0.3">
      <c r="B34" s="828"/>
    </row>
    <row r="35" spans="2:2" x14ac:dyDescent="0.3">
      <c r="B35" s="828"/>
    </row>
    <row r="36" spans="2:2" x14ac:dyDescent="0.3">
      <c r="B36" s="828"/>
    </row>
    <row r="37" spans="2:2" x14ac:dyDescent="0.3">
      <c r="B37" s="828"/>
    </row>
    <row r="38" spans="2:2" x14ac:dyDescent="0.3">
      <c r="B38" s="828"/>
    </row>
    <row r="39" spans="2:2" x14ac:dyDescent="0.3">
      <c r="B39" s="828"/>
    </row>
    <row r="40" spans="2:2" x14ac:dyDescent="0.3">
      <c r="B40" s="828"/>
    </row>
    <row r="41" spans="2:2" x14ac:dyDescent="0.3">
      <c r="B41" s="828"/>
    </row>
    <row r="42" spans="2:2" x14ac:dyDescent="0.3">
      <c r="B42" s="828"/>
    </row>
    <row r="43" spans="2:2" x14ac:dyDescent="0.3">
      <c r="B43" s="828"/>
    </row>
    <row r="44" spans="2:2" x14ac:dyDescent="0.3">
      <c r="B44" s="828"/>
    </row>
    <row r="45" spans="2:2" x14ac:dyDescent="0.3">
      <c r="B45" s="828"/>
    </row>
    <row r="46" spans="2:2" x14ac:dyDescent="0.3">
      <c r="B46" s="828"/>
    </row>
    <row r="47" spans="2:2" x14ac:dyDescent="0.3">
      <c r="B47" s="828"/>
    </row>
    <row r="48" spans="2:2" x14ac:dyDescent="0.3">
      <c r="B48" s="828"/>
    </row>
    <row r="49" spans="2:2" x14ac:dyDescent="0.3">
      <c r="B49" s="828"/>
    </row>
    <row r="50" spans="2:2" x14ac:dyDescent="0.3">
      <c r="B50" s="828"/>
    </row>
    <row r="51" spans="2:2" x14ac:dyDescent="0.3">
      <c r="B51" s="828"/>
    </row>
    <row r="52" spans="2:2" x14ac:dyDescent="0.3">
      <c r="B52" s="828"/>
    </row>
    <row r="53" spans="2:2" x14ac:dyDescent="0.3">
      <c r="B53" s="828"/>
    </row>
    <row r="54" spans="2:2" x14ac:dyDescent="0.3">
      <c r="B54" s="828"/>
    </row>
    <row r="55" spans="2:2" x14ac:dyDescent="0.3">
      <c r="B55" s="828"/>
    </row>
    <row r="56" spans="2:2" x14ac:dyDescent="0.3">
      <c r="B56" s="828"/>
    </row>
    <row r="57" spans="2:2" x14ac:dyDescent="0.3">
      <c r="B57" s="828"/>
    </row>
    <row r="58" spans="2:2" x14ac:dyDescent="0.3">
      <c r="B58" s="828"/>
    </row>
    <row r="59" spans="2:2" x14ac:dyDescent="0.3">
      <c r="B59" s="828"/>
    </row>
    <row r="60" spans="2:2" x14ac:dyDescent="0.3">
      <c r="B60" s="828"/>
    </row>
    <row r="61" spans="2:2" x14ac:dyDescent="0.3">
      <c r="B61" s="828"/>
    </row>
    <row r="62" spans="2:2" x14ac:dyDescent="0.3">
      <c r="B62" s="828"/>
    </row>
    <row r="63" spans="2:2" x14ac:dyDescent="0.3">
      <c r="B63" s="828"/>
    </row>
    <row r="64" spans="2:2" x14ac:dyDescent="0.3">
      <c r="B64" s="828"/>
    </row>
    <row r="65" spans="2:2" x14ac:dyDescent="0.3">
      <c r="B65" s="828"/>
    </row>
    <row r="66" spans="2:2" x14ac:dyDescent="0.3">
      <c r="B66" s="828"/>
    </row>
    <row r="67" spans="2:2" x14ac:dyDescent="0.3">
      <c r="B67" s="828"/>
    </row>
    <row r="68" spans="2:2" x14ac:dyDescent="0.3">
      <c r="B68" s="828"/>
    </row>
    <row r="69" spans="2:2" x14ac:dyDescent="0.3">
      <c r="B69" s="828"/>
    </row>
    <row r="70" spans="2:2" x14ac:dyDescent="0.3">
      <c r="B70" s="828"/>
    </row>
    <row r="71" spans="2:2" x14ac:dyDescent="0.3">
      <c r="B71" s="828"/>
    </row>
    <row r="72" spans="2:2" x14ac:dyDescent="0.3">
      <c r="B72" s="828"/>
    </row>
    <row r="73" spans="2:2" x14ac:dyDescent="0.3">
      <c r="B73" s="828"/>
    </row>
    <row r="74" spans="2:2" x14ac:dyDescent="0.3">
      <c r="B74" s="828"/>
    </row>
    <row r="75" spans="2:2" x14ac:dyDescent="0.3">
      <c r="B75" s="828"/>
    </row>
    <row r="76" spans="2:2" x14ac:dyDescent="0.3">
      <c r="B76" s="828"/>
    </row>
    <row r="77" spans="2:2" x14ac:dyDescent="0.3">
      <c r="B77" s="828"/>
    </row>
    <row r="78" spans="2:2" x14ac:dyDescent="0.3">
      <c r="B78" s="828"/>
    </row>
    <row r="79" spans="2:2" x14ac:dyDescent="0.3">
      <c r="B79" s="828"/>
    </row>
    <row r="80" spans="2:2" x14ac:dyDescent="0.3">
      <c r="B80" s="828"/>
    </row>
    <row r="81" spans="2:2" x14ac:dyDescent="0.3">
      <c r="B81" s="828"/>
    </row>
    <row r="82" spans="2:2" x14ac:dyDescent="0.3">
      <c r="B82" s="828"/>
    </row>
    <row r="83" spans="2:2" x14ac:dyDescent="0.3">
      <c r="B83" s="828"/>
    </row>
    <row r="84" spans="2:2" x14ac:dyDescent="0.3">
      <c r="B84" s="828"/>
    </row>
    <row r="85" spans="2:2" x14ac:dyDescent="0.3">
      <c r="B85" s="828"/>
    </row>
    <row r="86" spans="2:2" x14ac:dyDescent="0.3">
      <c r="B86" s="828"/>
    </row>
    <row r="87" spans="2:2" x14ac:dyDescent="0.3">
      <c r="B87" s="828"/>
    </row>
    <row r="88" spans="2:2" x14ac:dyDescent="0.3">
      <c r="B88" s="828"/>
    </row>
    <row r="89" spans="2:2" x14ac:dyDescent="0.3">
      <c r="B89" s="828"/>
    </row>
    <row r="90" spans="2:2" x14ac:dyDescent="0.3">
      <c r="B90" s="828"/>
    </row>
    <row r="91" spans="2:2" x14ac:dyDescent="0.3">
      <c r="B91" s="828"/>
    </row>
    <row r="92" spans="2:2" x14ac:dyDescent="0.3">
      <c r="B92" s="828"/>
    </row>
    <row r="93" spans="2:2" x14ac:dyDescent="0.3">
      <c r="B93" s="828"/>
    </row>
    <row r="94" spans="2:2" x14ac:dyDescent="0.3">
      <c r="B94" s="828"/>
    </row>
    <row r="95" spans="2:2" x14ac:dyDescent="0.3">
      <c r="B95" s="828"/>
    </row>
    <row r="96" spans="2:2" x14ac:dyDescent="0.3">
      <c r="B96" s="828"/>
    </row>
    <row r="97" spans="2:2" x14ac:dyDescent="0.3">
      <c r="B97" s="828"/>
    </row>
    <row r="98" spans="2:2" x14ac:dyDescent="0.3">
      <c r="B98" s="828"/>
    </row>
    <row r="99" spans="2:2" x14ac:dyDescent="0.3">
      <c r="B99" s="828"/>
    </row>
    <row r="100" spans="2:2" x14ac:dyDescent="0.3">
      <c r="B100" s="828"/>
    </row>
    <row r="101" spans="2:2" x14ac:dyDescent="0.3">
      <c r="B101" s="828"/>
    </row>
    <row r="102" spans="2:2" x14ac:dyDescent="0.3">
      <c r="B102" s="828"/>
    </row>
    <row r="103" spans="2:2" x14ac:dyDescent="0.3">
      <c r="B103" s="828"/>
    </row>
    <row r="104" spans="2:2" x14ac:dyDescent="0.3">
      <c r="B104" s="828"/>
    </row>
    <row r="105" spans="2:2" x14ac:dyDescent="0.3">
      <c r="B105" s="828"/>
    </row>
    <row r="106" spans="2:2" x14ac:dyDescent="0.3">
      <c r="B106" s="828"/>
    </row>
    <row r="107" spans="2:2" x14ac:dyDescent="0.3">
      <c r="B107" s="828"/>
    </row>
    <row r="108" spans="2:2" x14ac:dyDescent="0.3">
      <c r="B108" s="828"/>
    </row>
    <row r="109" spans="2:2" x14ac:dyDescent="0.3">
      <c r="B109" s="828"/>
    </row>
    <row r="110" spans="2:2" x14ac:dyDescent="0.3">
      <c r="B110" s="828"/>
    </row>
    <row r="111" spans="2:2" x14ac:dyDescent="0.3">
      <c r="B111" s="828"/>
    </row>
    <row r="112" spans="2:2" x14ac:dyDescent="0.3">
      <c r="B112" s="828"/>
    </row>
    <row r="113" spans="2:2" x14ac:dyDescent="0.3">
      <c r="B113" s="828"/>
    </row>
    <row r="114" spans="2:2" x14ac:dyDescent="0.3">
      <c r="B114" s="828"/>
    </row>
    <row r="115" spans="2:2" x14ac:dyDescent="0.3">
      <c r="B115" s="828"/>
    </row>
    <row r="116" spans="2:2" x14ac:dyDescent="0.3">
      <c r="B116" s="828"/>
    </row>
    <row r="117" spans="2:2" x14ac:dyDescent="0.3">
      <c r="B117" s="828"/>
    </row>
    <row r="118" spans="2:2" x14ac:dyDescent="0.3">
      <c r="B118" s="828"/>
    </row>
    <row r="119" spans="2:2" x14ac:dyDescent="0.3">
      <c r="B119" s="828"/>
    </row>
    <row r="120" spans="2:2" x14ac:dyDescent="0.3">
      <c r="B120" s="828"/>
    </row>
    <row r="121" spans="2:2" x14ac:dyDescent="0.3">
      <c r="B121" s="828"/>
    </row>
    <row r="122" spans="2:2" x14ac:dyDescent="0.3">
      <c r="B122" s="828"/>
    </row>
    <row r="123" spans="2:2" x14ac:dyDescent="0.3">
      <c r="B123" s="828"/>
    </row>
    <row r="124" spans="2:2" x14ac:dyDescent="0.3">
      <c r="B124" s="828"/>
    </row>
    <row r="125" spans="2:2" x14ac:dyDescent="0.3">
      <c r="B125" s="828"/>
    </row>
    <row r="126" spans="2:2" x14ac:dyDescent="0.3">
      <c r="B126" s="828"/>
    </row>
    <row r="127" spans="2:2" x14ac:dyDescent="0.3">
      <c r="B127" s="828"/>
    </row>
    <row r="128" spans="2:2" x14ac:dyDescent="0.3">
      <c r="B128" s="828"/>
    </row>
    <row r="129" spans="2:2" x14ac:dyDescent="0.3">
      <c r="B129" s="828"/>
    </row>
    <row r="130" spans="2:2" x14ac:dyDescent="0.3">
      <c r="B130" s="828"/>
    </row>
    <row r="131" spans="2:2" x14ac:dyDescent="0.3">
      <c r="B131" s="828"/>
    </row>
    <row r="132" spans="2:2" x14ac:dyDescent="0.3">
      <c r="B132" s="828"/>
    </row>
    <row r="133" spans="2:2" x14ac:dyDescent="0.3">
      <c r="B133" s="828"/>
    </row>
    <row r="134" spans="2:2" x14ac:dyDescent="0.3">
      <c r="B134" s="828"/>
    </row>
    <row r="135" spans="2:2" x14ac:dyDescent="0.3">
      <c r="B135" s="828"/>
    </row>
    <row r="136" spans="2:2" x14ac:dyDescent="0.3">
      <c r="B136" s="828"/>
    </row>
    <row r="137" spans="2:2" x14ac:dyDescent="0.3">
      <c r="B137" s="828"/>
    </row>
    <row r="138" spans="2:2" x14ac:dyDescent="0.3">
      <c r="B138" s="828"/>
    </row>
    <row r="139" spans="2:2" x14ac:dyDescent="0.3">
      <c r="B139" s="828"/>
    </row>
    <row r="140" spans="2:2" x14ac:dyDescent="0.3">
      <c r="B140" s="828"/>
    </row>
    <row r="141" spans="2:2" x14ac:dyDescent="0.3">
      <c r="B141" s="828"/>
    </row>
    <row r="142" spans="2:2" x14ac:dyDescent="0.3">
      <c r="B142" s="828"/>
    </row>
  </sheetData>
  <mergeCells count="5">
    <mergeCell ref="J13:K13"/>
    <mergeCell ref="M15:N15"/>
    <mergeCell ref="M16:N16"/>
    <mergeCell ref="M17:N17"/>
    <mergeCell ref="M18:N1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workbookViewId="0">
      <selection activeCell="R18" sqref="R18"/>
    </sheetView>
  </sheetViews>
  <sheetFormatPr defaultColWidth="8.8984375" defaultRowHeight="19.5" customHeight="1" x14ac:dyDescent="0.3"/>
  <cols>
    <col min="1" max="1" width="2.69921875" style="1417" customWidth="1"/>
    <col min="2" max="2" width="4.3984375" style="1418" customWidth="1"/>
    <col min="3" max="3" width="2.8984375" style="1418" customWidth="1"/>
    <col min="4" max="4" width="5.19921875" style="1418" customWidth="1"/>
    <col min="5" max="5" width="4.09765625" style="1418" customWidth="1"/>
    <col min="6" max="6" width="4.8984375" style="1418" customWidth="1"/>
    <col min="7" max="7" width="6.09765625" style="1418" customWidth="1"/>
    <col min="8" max="8" width="4.5" style="1418" customWidth="1"/>
    <col min="9" max="9" width="4.8984375" style="1418" customWidth="1"/>
    <col min="10" max="10" width="5.8984375" style="1418" customWidth="1"/>
    <col min="11" max="11" width="5.19921875" style="1418" customWidth="1"/>
    <col min="12" max="12" width="11.69921875" style="1418" customWidth="1"/>
    <col min="13" max="13" width="8.09765625" style="1418" customWidth="1"/>
    <col min="14" max="14" width="5.59765625" style="1418" customWidth="1"/>
    <col min="15" max="15" width="7.19921875" style="1418" customWidth="1"/>
    <col min="16" max="16" width="3.59765625" style="1418" customWidth="1"/>
    <col min="17" max="17" width="6.5" style="1418" customWidth="1"/>
    <col min="18" max="20" width="5.19921875" style="1417" customWidth="1"/>
    <col min="21" max="21" width="2.3984375" style="1418" customWidth="1"/>
    <col min="22" max="29" width="8.8984375" style="1417"/>
    <col min="30" max="16384" width="8.8984375" style="1418"/>
  </cols>
  <sheetData>
    <row r="1" spans="2:21" ht="19.5" customHeight="1" x14ac:dyDescent="0.3"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U1" s="1417"/>
    </row>
    <row r="2" spans="2:21" ht="19.5" customHeight="1" x14ac:dyDescent="0.3">
      <c r="B2" s="1418" t="s">
        <v>441</v>
      </c>
      <c r="R2" s="1419"/>
      <c r="S2" s="1419"/>
      <c r="T2" s="1419"/>
      <c r="U2" s="1417"/>
    </row>
    <row r="3" spans="2:21" ht="19.5" customHeight="1" x14ac:dyDescent="0.3">
      <c r="B3" s="1418" t="s">
        <v>452</v>
      </c>
      <c r="R3" s="1419"/>
      <c r="S3" s="1419"/>
      <c r="T3" s="1419"/>
      <c r="U3" s="1417"/>
    </row>
    <row r="4" spans="2:21" ht="19.5" customHeight="1" x14ac:dyDescent="0.3"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417"/>
    </row>
    <row r="5" spans="2:21" ht="9" customHeight="1" x14ac:dyDescent="0.3">
      <c r="B5" s="1163"/>
      <c r="C5" s="1163"/>
      <c r="D5" s="1163"/>
      <c r="E5" s="1163"/>
      <c r="F5" s="1163"/>
      <c r="G5" s="1163"/>
      <c r="H5" s="1163"/>
      <c r="I5" s="1163"/>
      <c r="J5" s="1163"/>
      <c r="K5" s="1163"/>
      <c r="L5" s="1165"/>
      <c r="M5" s="1165"/>
      <c r="N5" s="1165"/>
      <c r="O5" s="1163"/>
      <c r="P5" s="1163"/>
      <c r="Q5" s="1163"/>
      <c r="R5" s="1163"/>
      <c r="S5" s="1163"/>
      <c r="T5" s="1163"/>
      <c r="U5" s="1417"/>
    </row>
    <row r="6" spans="2:21" ht="19.5" customHeight="1" x14ac:dyDescent="0.3">
      <c r="B6" s="1420"/>
      <c r="C6" s="1421"/>
      <c r="D6" s="1420"/>
      <c r="E6" s="1420"/>
      <c r="F6" s="1163"/>
      <c r="G6" s="1422"/>
      <c r="H6" s="1165"/>
      <c r="I6" s="1163"/>
      <c r="J6" s="1163"/>
      <c r="K6" s="1163"/>
      <c r="L6" s="1165"/>
      <c r="M6" s="1165"/>
      <c r="N6" s="1165"/>
      <c r="O6" s="1163"/>
      <c r="P6" s="1163"/>
      <c r="Q6" s="1163"/>
      <c r="R6" s="1163"/>
      <c r="S6" s="1163"/>
      <c r="T6" s="1163"/>
      <c r="U6" s="1417"/>
    </row>
    <row r="7" spans="2:21" ht="19.5" customHeight="1" x14ac:dyDescent="0.3">
      <c r="B7" s="1421"/>
      <c r="C7" s="1421"/>
      <c r="D7" s="1163"/>
      <c r="E7" s="1163"/>
      <c r="F7" s="1163"/>
      <c r="G7" s="1423"/>
      <c r="H7" s="1165"/>
      <c r="I7" s="1423"/>
      <c r="J7" s="1423"/>
      <c r="K7" s="1423"/>
      <c r="L7" s="1165"/>
      <c r="M7" s="1165"/>
      <c r="N7" s="1165"/>
      <c r="O7" s="1163"/>
      <c r="P7" s="1163"/>
      <c r="Q7" s="1163"/>
      <c r="R7" s="1163"/>
      <c r="S7" s="1163"/>
      <c r="T7" s="1163"/>
      <c r="U7" s="1417"/>
    </row>
    <row r="8" spans="2:21" ht="19.5" customHeight="1" x14ac:dyDescent="0.3">
      <c r="B8" s="1424"/>
      <c r="C8" s="1425"/>
      <c r="D8" s="1147"/>
      <c r="E8" s="1147"/>
      <c r="F8" s="1163"/>
      <c r="G8" s="1423"/>
      <c r="H8" s="1426"/>
      <c r="I8" s="1423"/>
      <c r="J8" s="1423"/>
      <c r="K8" s="1423"/>
      <c r="L8" s="1163"/>
      <c r="M8" s="1163"/>
      <c r="N8" s="1163"/>
      <c r="O8" s="1163"/>
      <c r="P8" s="1163"/>
      <c r="Q8" s="1163"/>
      <c r="R8" s="1163"/>
      <c r="S8" s="1163"/>
      <c r="T8" s="1163"/>
      <c r="U8" s="1417"/>
    </row>
    <row r="9" spans="2:21" ht="19.5" customHeight="1" x14ac:dyDescent="0.3">
      <c r="B9" s="1163"/>
      <c r="C9" s="1163"/>
      <c r="D9" s="1163"/>
      <c r="E9" s="1163"/>
      <c r="F9" s="1163"/>
      <c r="G9" s="1163"/>
      <c r="H9" s="1163"/>
      <c r="I9" s="1163"/>
      <c r="J9" s="1163"/>
      <c r="K9" s="1163"/>
      <c r="L9" s="1163"/>
      <c r="M9" s="1163"/>
      <c r="N9" s="1163"/>
      <c r="O9" s="1163"/>
      <c r="P9" s="1163"/>
      <c r="Q9" s="1163"/>
      <c r="R9" s="1163"/>
      <c r="S9" s="1163"/>
      <c r="T9" s="1163"/>
      <c r="U9" s="1417"/>
    </row>
    <row r="10" spans="2:21" ht="19.5" customHeight="1" x14ac:dyDescent="0.3">
      <c r="C10" s="1163"/>
      <c r="D10" s="1163"/>
      <c r="E10" s="1163"/>
      <c r="F10" s="1163"/>
      <c r="G10" s="1427"/>
      <c r="H10" s="1165"/>
      <c r="I10" s="1163"/>
      <c r="J10" s="1163"/>
      <c r="K10" s="1163"/>
      <c r="L10" s="1165"/>
      <c r="M10" s="1165"/>
      <c r="N10" s="1165"/>
      <c r="O10" s="1163"/>
      <c r="P10" s="1163"/>
      <c r="Q10" s="1163"/>
      <c r="R10" s="1163"/>
      <c r="S10" s="1163"/>
      <c r="T10" s="1163"/>
      <c r="U10" s="1417"/>
    </row>
    <row r="11" spans="2:21" ht="21.75" customHeight="1" x14ac:dyDescent="0.3">
      <c r="C11" s="1163"/>
      <c r="D11" s="1163"/>
      <c r="E11" s="1163"/>
      <c r="F11" s="1163"/>
      <c r="G11" s="1422"/>
      <c r="H11" s="1165"/>
      <c r="I11" s="1420"/>
      <c r="J11" s="1163"/>
      <c r="K11" s="1163"/>
      <c r="L11" s="1165"/>
      <c r="M11" s="1165"/>
      <c r="N11" s="1165"/>
      <c r="O11" s="1163"/>
      <c r="P11" s="1163"/>
      <c r="Q11" s="1163"/>
      <c r="R11" s="1163"/>
      <c r="S11" s="1163"/>
      <c r="T11" s="1163"/>
      <c r="U11" s="1417"/>
    </row>
    <row r="12" spans="2:21" ht="10.5" customHeight="1" thickBot="1" x14ac:dyDescent="0.35">
      <c r="B12" s="1163"/>
      <c r="C12" s="1163"/>
      <c r="D12" s="1180"/>
      <c r="E12" s="1180"/>
      <c r="F12" s="1180"/>
      <c r="G12" s="1163"/>
      <c r="H12" s="1163"/>
      <c r="I12" s="1163"/>
      <c r="J12" s="1163"/>
      <c r="K12" s="1163"/>
      <c r="L12" s="1163"/>
      <c r="M12" s="1163"/>
      <c r="N12" s="1163"/>
      <c r="O12" s="1163"/>
      <c r="P12" s="1163"/>
      <c r="Q12" s="1163"/>
      <c r="R12" s="1163"/>
      <c r="S12" s="1163"/>
      <c r="T12" s="1163"/>
      <c r="U12" s="1417"/>
    </row>
    <row r="13" spans="2:21" ht="19.5" customHeight="1" thickBot="1" x14ac:dyDescent="0.35">
      <c r="B13" s="1163"/>
      <c r="C13" s="1428"/>
      <c r="D13" s="1180"/>
      <c r="E13" s="1180"/>
      <c r="F13" s="1180"/>
      <c r="G13" s="1422"/>
      <c r="H13" s="1165"/>
      <c r="I13" s="1163"/>
      <c r="J13" s="1163"/>
      <c r="K13" s="1163"/>
      <c r="L13" s="1165"/>
      <c r="M13" s="1165"/>
      <c r="N13" s="1429"/>
      <c r="O13" s="1429" t="s">
        <v>446</v>
      </c>
      <c r="Q13" s="1430">
        <v>1.1000000000000001</v>
      </c>
      <c r="R13" s="1163" t="s">
        <v>265</v>
      </c>
      <c r="S13" s="1163" t="s">
        <v>447</v>
      </c>
      <c r="T13" s="1446">
        <v>3</v>
      </c>
      <c r="U13" s="1417"/>
    </row>
    <row r="14" spans="2:21" ht="19.5" customHeight="1" thickBot="1" x14ac:dyDescent="0.35">
      <c r="B14" s="1163" t="s">
        <v>448</v>
      </c>
      <c r="D14" s="1424"/>
      <c r="E14" s="1431"/>
      <c r="H14" s="1165"/>
      <c r="I14" s="1147"/>
      <c r="J14" s="1147"/>
      <c r="K14" s="1147"/>
      <c r="L14" s="1165"/>
      <c r="M14" s="1165"/>
      <c r="N14" s="1165"/>
      <c r="O14" s="1163"/>
      <c r="P14" s="1205"/>
      <c r="Q14" s="1430">
        <v>10</v>
      </c>
      <c r="R14" s="1163" t="s">
        <v>259</v>
      </c>
      <c r="S14" s="1163"/>
      <c r="T14" s="1163"/>
      <c r="U14" s="1417"/>
    </row>
    <row r="15" spans="2:21" ht="19.5" customHeight="1" x14ac:dyDescent="0.3">
      <c r="B15" s="1163" t="s">
        <v>442</v>
      </c>
      <c r="D15" s="1163"/>
      <c r="E15" s="1163"/>
      <c r="F15" s="1163"/>
      <c r="G15" s="1163"/>
      <c r="H15" s="1163"/>
      <c r="M15" s="1163">
        <f>Q13</f>
        <v>1.1000000000000001</v>
      </c>
      <c r="N15" s="1447" t="s">
        <v>450</v>
      </c>
      <c r="O15" s="1163">
        <f>Q14/100</f>
        <v>0.1</v>
      </c>
      <c r="P15" s="1418" t="s">
        <v>449</v>
      </c>
      <c r="Q15" s="1431">
        <f>M15+O15</f>
        <v>1.2000000000000002</v>
      </c>
      <c r="R15" s="1163" t="s">
        <v>265</v>
      </c>
      <c r="S15" s="1163"/>
      <c r="T15" s="1163"/>
      <c r="U15" s="1417"/>
    </row>
    <row r="16" spans="2:21" ht="19.5" customHeight="1" x14ac:dyDescent="0.3">
      <c r="B16" s="1163" t="s">
        <v>444</v>
      </c>
      <c r="C16" s="1163"/>
      <c r="D16" s="1432"/>
      <c r="E16" s="1433"/>
      <c r="F16" s="1163"/>
      <c r="G16" s="1163"/>
      <c r="H16" s="1163"/>
      <c r="I16" s="1163"/>
      <c r="J16" s="1163"/>
      <c r="K16" s="1163"/>
      <c r="L16" s="1163"/>
      <c r="M16" s="1431">
        <f>2*Q13</f>
        <v>2.2000000000000002</v>
      </c>
      <c r="N16" s="1163" t="s">
        <v>265</v>
      </c>
      <c r="Q16" s="1163"/>
      <c r="R16" s="1163"/>
      <c r="S16" s="1163"/>
      <c r="T16" s="1163"/>
      <c r="U16" s="1417"/>
    </row>
    <row r="17" spans="2:21" ht="18" customHeight="1" x14ac:dyDescent="0.3">
      <c r="B17" s="1433" t="s">
        <v>445</v>
      </c>
      <c r="D17" s="1165"/>
      <c r="E17" s="1433"/>
      <c r="F17" s="1163"/>
      <c r="G17" s="1163"/>
      <c r="H17" s="1163"/>
      <c r="I17" s="1163"/>
      <c r="J17" s="1163"/>
      <c r="K17" s="1163"/>
      <c r="L17" s="1163"/>
      <c r="M17" s="1163" t="str">
        <f>CONCATENATE(T13,"x",M16,"x",Q15,"² =")</f>
        <v>3x2,2x1,2² =</v>
      </c>
      <c r="N17" s="1163"/>
      <c r="O17" s="1163">
        <f>T13*M16*Q15^2</f>
        <v>9.5040000000000031</v>
      </c>
      <c r="P17" s="1163" t="s">
        <v>263</v>
      </c>
      <c r="Q17" s="1163"/>
      <c r="R17" s="1163"/>
      <c r="S17" s="1163"/>
      <c r="T17" s="1163"/>
      <c r="U17" s="1417"/>
    </row>
    <row r="18" spans="2:21" ht="19.5" customHeight="1" x14ac:dyDescent="0.3">
      <c r="B18" s="1163" t="s">
        <v>442</v>
      </c>
      <c r="C18" s="1163"/>
      <c r="D18" s="1163"/>
      <c r="E18" s="1434"/>
      <c r="F18" s="1434"/>
      <c r="G18" s="1163"/>
      <c r="H18" s="1435"/>
      <c r="I18" s="1436"/>
      <c r="J18" s="1437"/>
      <c r="K18" s="1165"/>
      <c r="L18" s="1165"/>
      <c r="M18" s="1438">
        <f>Q13</f>
        <v>1.1000000000000001</v>
      </c>
      <c r="N18" s="1165" t="s">
        <v>265</v>
      </c>
      <c r="O18" s="1165"/>
      <c r="P18" s="1165"/>
      <c r="Q18" s="1165"/>
      <c r="R18" s="1165"/>
      <c r="S18" s="1165"/>
      <c r="T18" s="1165"/>
      <c r="U18" s="1417"/>
    </row>
    <row r="19" spans="2:21" ht="19.5" customHeight="1" x14ac:dyDescent="0.3">
      <c r="B19" s="1163" t="s">
        <v>443</v>
      </c>
      <c r="C19" s="1163"/>
      <c r="D19" s="1163"/>
      <c r="E19" s="1163"/>
      <c r="F19" s="1163"/>
      <c r="G19" s="1163"/>
      <c r="H19" s="1165"/>
      <c r="I19" s="1436"/>
      <c r="J19" s="1437"/>
      <c r="K19" s="1165"/>
      <c r="L19" s="1165"/>
      <c r="M19" s="1439">
        <f>M16</f>
        <v>2.2000000000000002</v>
      </c>
      <c r="N19" s="1165"/>
      <c r="O19" s="1165"/>
      <c r="P19" s="1165"/>
      <c r="Q19" s="1165"/>
      <c r="R19" s="1165"/>
      <c r="S19" s="1165"/>
      <c r="T19" s="1165"/>
      <c r="U19" s="1417"/>
    </row>
    <row r="20" spans="2:21" ht="19.5" customHeight="1" x14ac:dyDescent="0.3">
      <c r="B20" s="1433" t="s">
        <v>445</v>
      </c>
      <c r="D20" s="1165"/>
      <c r="E20" s="1433"/>
      <c r="F20" s="1163"/>
      <c r="G20" s="1163"/>
      <c r="H20" s="1163"/>
      <c r="I20" s="1163"/>
      <c r="J20" s="1163"/>
      <c r="K20" s="1163"/>
      <c r="L20" s="1163"/>
      <c r="M20" s="1163" t="str">
        <f>CONCATENATE(T13,"x",M19,"x",Q13,"² =")</f>
        <v>3x2,2x1,1² =</v>
      </c>
      <c r="N20" s="1163"/>
      <c r="O20" s="1163">
        <f>T13*M19*Q13^2</f>
        <v>7.9860000000000015</v>
      </c>
      <c r="P20" s="1163" t="s">
        <v>263</v>
      </c>
      <c r="Q20" s="1163"/>
      <c r="R20" s="1163"/>
      <c r="S20" s="1163"/>
      <c r="T20" s="1165"/>
      <c r="U20" s="1417"/>
    </row>
    <row r="21" spans="2:21" ht="19.5" customHeight="1" x14ac:dyDescent="0.3">
      <c r="B21" s="1448" t="s">
        <v>451</v>
      </c>
      <c r="C21" s="1440"/>
      <c r="D21" s="1440"/>
      <c r="E21" s="1440"/>
      <c r="F21" s="1440"/>
      <c r="G21" s="1440"/>
      <c r="H21" s="1441"/>
      <c r="I21" s="1442"/>
      <c r="J21" s="1443"/>
      <c r="K21" s="1443" t="str">
        <f>CONCATENATE("(",O17," - ",O20," = ",O17-O20,")m³")</f>
        <v>(9,504 - 7,986 = 1,518)m³</v>
      </c>
      <c r="L21" s="1443"/>
      <c r="M21" s="1442"/>
      <c r="N21" s="1443"/>
      <c r="O21" s="1443"/>
      <c r="P21" s="1443"/>
      <c r="Q21" s="1443"/>
      <c r="R21" s="1443"/>
      <c r="S21" s="1443"/>
      <c r="T21" s="1443"/>
      <c r="U21" s="1417"/>
    </row>
    <row r="22" spans="2:21" ht="19.5" customHeight="1" x14ac:dyDescent="0.3">
      <c r="B22" s="1417"/>
      <c r="C22" s="1417"/>
      <c r="D22" s="1417"/>
      <c r="E22" s="1417"/>
      <c r="F22" s="1417"/>
      <c r="G22" s="1417"/>
      <c r="H22" s="1417"/>
      <c r="I22" s="1417"/>
      <c r="J22" s="1417"/>
      <c r="K22" s="1417"/>
      <c r="L22" s="1417"/>
      <c r="M22" s="1417"/>
      <c r="N22" s="1417"/>
      <c r="O22" s="1417"/>
      <c r="P22" s="1417"/>
      <c r="Q22" s="1417"/>
      <c r="U22" s="1417"/>
    </row>
    <row r="23" spans="2:21" s="1417" customFormat="1" ht="19.5" customHeight="1" x14ac:dyDescent="0.3"/>
    <row r="24" spans="2:21" s="1417" customFormat="1" ht="19.5" customHeight="1" x14ac:dyDescent="0.3"/>
    <row r="25" spans="2:21" s="1417" customFormat="1" ht="19.5" customHeight="1" x14ac:dyDescent="0.3"/>
    <row r="26" spans="2:21" s="1417" customFormat="1" ht="19.5" customHeight="1" x14ac:dyDescent="0.3"/>
    <row r="27" spans="2:21" s="1417" customFormat="1" ht="19.5" customHeight="1" x14ac:dyDescent="0.3"/>
    <row r="28" spans="2:21" s="1417" customFormat="1" ht="19.5" customHeight="1" x14ac:dyDescent="0.3"/>
    <row r="29" spans="2:21" s="1417" customFormat="1" ht="19.5" customHeight="1" x14ac:dyDescent="0.3"/>
    <row r="30" spans="2:21" s="1417" customFormat="1" ht="19.5" customHeight="1" x14ac:dyDescent="0.3"/>
    <row r="31" spans="2:21" s="1417" customFormat="1" ht="19.5" customHeight="1" x14ac:dyDescent="0.3"/>
    <row r="32" spans="2:21" s="1417" customFormat="1" ht="19.5" customHeight="1" x14ac:dyDescent="0.3"/>
    <row r="33" s="1417" customFormat="1" ht="16.2" x14ac:dyDescent="0.3"/>
    <row r="34" s="1417" customFormat="1" ht="16.2" x14ac:dyDescent="0.3"/>
    <row r="35" s="1417" customFormat="1" ht="16.2" x14ac:dyDescent="0.3"/>
    <row r="36" s="1417" customFormat="1" ht="16.2" x14ac:dyDescent="0.3"/>
    <row r="37" s="1417" customFormat="1" ht="16.2" x14ac:dyDescent="0.3"/>
    <row r="38" s="1417" customFormat="1" ht="16.2" x14ac:dyDescent="0.3"/>
    <row r="39" s="1417" customFormat="1" ht="16.2" x14ac:dyDescent="0.3"/>
    <row r="40" s="1417" customFormat="1" ht="16.2" x14ac:dyDescent="0.3"/>
    <row r="41" s="1417" customFormat="1" ht="16.2" x14ac:dyDescent="0.3"/>
    <row r="42" s="1417" customFormat="1" ht="16.2" x14ac:dyDescent="0.3"/>
    <row r="43" s="1417" customFormat="1" ht="16.2" x14ac:dyDescent="0.3"/>
    <row r="44" s="1417" customFormat="1" ht="16.2" x14ac:dyDescent="0.3"/>
    <row r="45" s="1417" customFormat="1" ht="16.2" x14ac:dyDescent="0.3"/>
    <row r="46" s="1417" customFormat="1" ht="16.2" x14ac:dyDescent="0.3"/>
    <row r="47" s="1417" customFormat="1" ht="16.2" x14ac:dyDescent="0.3"/>
    <row r="48" s="1417" customFormat="1" ht="16.2" x14ac:dyDescent="0.3"/>
    <row r="49" s="1417" customFormat="1" ht="16.2" x14ac:dyDescent="0.3"/>
    <row r="50" s="1417" customFormat="1" ht="16.2" x14ac:dyDescent="0.3"/>
    <row r="51" s="1417" customFormat="1" ht="16.2" x14ac:dyDescent="0.3"/>
    <row r="52" s="1417" customFormat="1" ht="16.2" x14ac:dyDescent="0.3"/>
    <row r="53" s="1417" customFormat="1" ht="16.2" x14ac:dyDescent="0.3"/>
    <row r="54" s="1417" customFormat="1" ht="16.2" x14ac:dyDescent="0.3"/>
    <row r="55" s="1417" customFormat="1" ht="16.2" x14ac:dyDescent="0.3"/>
    <row r="56" s="1417" customFormat="1" ht="16.2" x14ac:dyDescent="0.3"/>
    <row r="57" s="1417" customFormat="1" ht="16.2" x14ac:dyDescent="0.3"/>
    <row r="58" s="1417" customFormat="1" ht="16.2" x14ac:dyDescent="0.3"/>
    <row r="59" s="1417" customFormat="1" ht="16.2" x14ac:dyDescent="0.3"/>
    <row r="60" s="1417" customFormat="1" ht="16.2" x14ac:dyDescent="0.3"/>
    <row r="61" s="1417" customFormat="1" ht="16.2" x14ac:dyDescent="0.3"/>
    <row r="62" s="1417" customFormat="1" ht="16.2" x14ac:dyDescent="0.3"/>
    <row r="63" s="1417" customFormat="1" ht="16.2" x14ac:dyDescent="0.3"/>
    <row r="64" s="1417" customFormat="1" ht="16.2" x14ac:dyDescent="0.3"/>
    <row r="65" spans="1:29" s="1417" customFormat="1" ht="19.5" customHeight="1" x14ac:dyDescent="0.3"/>
    <row r="66" spans="1:29" s="1445" customFormat="1" ht="19.5" customHeight="1" x14ac:dyDescent="0.3">
      <c r="A66" s="1444"/>
      <c r="B66" s="1444"/>
      <c r="C66" s="1444"/>
      <c r="D66" s="1444"/>
      <c r="E66" s="1444"/>
      <c r="F66" s="1444"/>
      <c r="G66" s="1444"/>
      <c r="H66" s="1444"/>
      <c r="I66" s="1444"/>
      <c r="J66" s="1444"/>
      <c r="K66" s="1444"/>
      <c r="L66" s="1444"/>
      <c r="M66" s="1444"/>
      <c r="N66" s="1444"/>
      <c r="O66" s="1444"/>
      <c r="P66" s="1444"/>
      <c r="Q66" s="1444"/>
      <c r="R66" s="1444"/>
      <c r="S66" s="1444"/>
      <c r="T66" s="1444"/>
      <c r="U66" s="1444"/>
      <c r="V66" s="1417"/>
      <c r="W66" s="1417"/>
      <c r="X66" s="1417"/>
      <c r="Y66" s="1417"/>
      <c r="Z66" s="1417"/>
      <c r="AA66" s="1417"/>
      <c r="AB66" s="1417"/>
      <c r="AC66" s="1417"/>
    </row>
    <row r="67" spans="1:29" s="1445" customFormat="1" ht="19.5" customHeight="1" x14ac:dyDescent="0.3">
      <c r="A67" s="1444"/>
      <c r="B67" s="1444"/>
      <c r="C67" s="1444"/>
      <c r="D67" s="1444"/>
      <c r="E67" s="1444"/>
      <c r="F67" s="1444"/>
      <c r="G67" s="1444"/>
      <c r="H67" s="1444"/>
      <c r="I67" s="1444"/>
      <c r="J67" s="1444"/>
      <c r="K67" s="1444"/>
      <c r="L67" s="1444"/>
      <c r="M67" s="1444"/>
      <c r="N67" s="1444"/>
      <c r="O67" s="1444"/>
      <c r="P67" s="1444"/>
      <c r="Q67" s="1444"/>
      <c r="R67" s="1444"/>
      <c r="S67" s="1444"/>
      <c r="T67" s="1444"/>
      <c r="U67" s="1444"/>
      <c r="V67" s="1417"/>
      <c r="W67" s="1417"/>
      <c r="X67" s="1417"/>
      <c r="Y67" s="1417"/>
      <c r="Z67" s="1417"/>
      <c r="AA67" s="1417"/>
      <c r="AB67" s="1417"/>
      <c r="AC67" s="1417"/>
    </row>
    <row r="68" spans="1:29" s="1445" customFormat="1" ht="19.5" customHeight="1" x14ac:dyDescent="0.3">
      <c r="A68" s="1444"/>
      <c r="B68" s="1444"/>
      <c r="C68" s="1444"/>
      <c r="D68" s="1444"/>
      <c r="E68" s="1444"/>
      <c r="F68" s="1444"/>
      <c r="G68" s="1444"/>
      <c r="H68" s="1444"/>
      <c r="I68" s="1444"/>
      <c r="J68" s="1444"/>
      <c r="K68" s="1444"/>
      <c r="L68" s="1444"/>
      <c r="M68" s="1444"/>
      <c r="N68" s="1444"/>
      <c r="O68" s="1444"/>
      <c r="P68" s="1444"/>
      <c r="Q68" s="1444"/>
      <c r="R68" s="1444"/>
      <c r="S68" s="1444"/>
      <c r="T68" s="1444"/>
      <c r="U68" s="1444"/>
      <c r="V68" s="1417"/>
      <c r="W68" s="1417"/>
      <c r="X68" s="1417"/>
      <c r="Y68" s="1417"/>
      <c r="Z68" s="1417"/>
      <c r="AA68" s="1417"/>
      <c r="AB68" s="1417"/>
      <c r="AC68" s="1417"/>
    </row>
    <row r="69" spans="1:29" s="1445" customFormat="1" ht="19.5" customHeight="1" x14ac:dyDescent="0.3">
      <c r="A69" s="1444"/>
      <c r="B69" s="1444"/>
      <c r="C69" s="1444"/>
      <c r="D69" s="1444"/>
      <c r="E69" s="1444"/>
      <c r="F69" s="1444"/>
      <c r="G69" s="1444"/>
      <c r="H69" s="1444"/>
      <c r="I69" s="1444"/>
      <c r="J69" s="1444"/>
      <c r="K69" s="1444"/>
      <c r="L69" s="1444"/>
      <c r="M69" s="1444"/>
      <c r="N69" s="1444"/>
      <c r="O69" s="1444"/>
      <c r="P69" s="1444"/>
      <c r="Q69" s="1444"/>
      <c r="R69" s="1444"/>
      <c r="S69" s="1444"/>
      <c r="T69" s="1444"/>
      <c r="U69" s="1444"/>
      <c r="V69" s="1417"/>
      <c r="W69" s="1417"/>
      <c r="X69" s="1417"/>
      <c r="Y69" s="1417"/>
      <c r="Z69" s="1417"/>
      <c r="AA69" s="1417"/>
      <c r="AB69" s="1417"/>
      <c r="AC69" s="1417"/>
    </row>
    <row r="70" spans="1:29" s="1445" customFormat="1" ht="19.5" customHeight="1" x14ac:dyDescent="0.3">
      <c r="A70" s="1444"/>
      <c r="B70" s="1444"/>
      <c r="C70" s="1444"/>
      <c r="D70" s="1444"/>
      <c r="E70" s="1444"/>
      <c r="F70" s="1444"/>
      <c r="G70" s="1444"/>
      <c r="H70" s="1444"/>
      <c r="I70" s="1444"/>
      <c r="J70" s="1444"/>
      <c r="K70" s="1444"/>
      <c r="L70" s="1444"/>
      <c r="M70" s="1444"/>
      <c r="N70" s="1444"/>
      <c r="O70" s="1444"/>
      <c r="P70" s="1444"/>
      <c r="Q70" s="1444"/>
      <c r="R70" s="1444"/>
      <c r="S70" s="1444"/>
      <c r="T70" s="1444"/>
      <c r="U70" s="1444"/>
      <c r="V70" s="1417"/>
      <c r="W70" s="1417"/>
      <c r="X70" s="1417"/>
      <c r="Y70" s="1417"/>
      <c r="Z70" s="1417"/>
      <c r="AA70" s="1417"/>
      <c r="AB70" s="1417"/>
      <c r="AC70" s="1417"/>
    </row>
    <row r="71" spans="1:29" s="1445" customFormat="1" ht="19.5" customHeight="1" x14ac:dyDescent="0.3">
      <c r="A71" s="1444"/>
      <c r="B71" s="1444"/>
      <c r="C71" s="1444"/>
      <c r="D71" s="1444"/>
      <c r="E71" s="1444"/>
      <c r="F71" s="1444"/>
      <c r="G71" s="1444"/>
      <c r="H71" s="1444"/>
      <c r="I71" s="1444"/>
      <c r="J71" s="1444"/>
      <c r="K71" s="1444"/>
      <c r="L71" s="1444"/>
      <c r="M71" s="1444"/>
      <c r="N71" s="1444"/>
      <c r="O71" s="1444"/>
      <c r="P71" s="1444"/>
      <c r="Q71" s="1444"/>
      <c r="R71" s="1444"/>
      <c r="S71" s="1444"/>
      <c r="T71" s="1444"/>
      <c r="U71" s="1444"/>
      <c r="V71" s="1417"/>
      <c r="W71" s="1417"/>
      <c r="X71" s="1417"/>
      <c r="Y71" s="1417"/>
      <c r="Z71" s="1417"/>
      <c r="AA71" s="1417"/>
      <c r="AB71" s="1417"/>
      <c r="AC71" s="1417"/>
    </row>
    <row r="72" spans="1:29" s="1445" customFormat="1" ht="19.5" customHeight="1" x14ac:dyDescent="0.3">
      <c r="A72" s="1444"/>
      <c r="B72" s="1444"/>
      <c r="C72" s="1444"/>
      <c r="D72" s="1444"/>
      <c r="E72" s="1444"/>
      <c r="F72" s="1444"/>
      <c r="G72" s="1444"/>
      <c r="H72" s="1444"/>
      <c r="I72" s="1444"/>
      <c r="J72" s="1444"/>
      <c r="K72" s="1444"/>
      <c r="L72" s="1444"/>
      <c r="M72" s="1444"/>
      <c r="N72" s="1444"/>
      <c r="O72" s="1444"/>
      <c r="P72" s="1444"/>
      <c r="Q72" s="1444"/>
      <c r="R72" s="1444"/>
      <c r="S72" s="1444"/>
      <c r="T72" s="1444"/>
      <c r="U72" s="1444"/>
      <c r="V72" s="1417"/>
      <c r="W72" s="1417"/>
      <c r="X72" s="1417"/>
      <c r="Y72" s="1417"/>
      <c r="Z72" s="1417"/>
      <c r="AA72" s="1417"/>
      <c r="AB72" s="1417"/>
      <c r="AC72" s="1417"/>
    </row>
    <row r="73" spans="1:29" s="1445" customFormat="1" ht="19.5" customHeight="1" x14ac:dyDescent="0.3">
      <c r="A73" s="1444"/>
      <c r="B73" s="1444"/>
      <c r="C73" s="1444"/>
      <c r="D73" s="1444"/>
      <c r="E73" s="1444"/>
      <c r="F73" s="1444"/>
      <c r="G73" s="1444"/>
      <c r="H73" s="1444"/>
      <c r="I73" s="1444"/>
      <c r="J73" s="1444"/>
      <c r="K73" s="1444"/>
      <c r="L73" s="1444"/>
      <c r="M73" s="1444"/>
      <c r="N73" s="1444"/>
      <c r="O73" s="1444"/>
      <c r="P73" s="1444"/>
      <c r="Q73" s="1444"/>
      <c r="R73" s="1444"/>
      <c r="S73" s="1444"/>
      <c r="T73" s="1444"/>
      <c r="U73" s="1444"/>
      <c r="V73" s="1417"/>
      <c r="W73" s="1417"/>
      <c r="X73" s="1417"/>
      <c r="Y73" s="1417"/>
      <c r="Z73" s="1417"/>
      <c r="AA73" s="1417"/>
      <c r="AB73" s="1417"/>
      <c r="AC73" s="1417"/>
    </row>
    <row r="74" spans="1:29" s="1445" customFormat="1" ht="19.5" customHeight="1" x14ac:dyDescent="0.3">
      <c r="A74" s="1444"/>
      <c r="B74" s="1444"/>
      <c r="C74" s="1444"/>
      <c r="D74" s="1444"/>
      <c r="E74" s="1444"/>
      <c r="F74" s="1444"/>
      <c r="G74" s="1444"/>
      <c r="H74" s="1444"/>
      <c r="I74" s="1444"/>
      <c r="J74" s="1444"/>
      <c r="K74" s="1444"/>
      <c r="L74" s="1444"/>
      <c r="M74" s="1444"/>
      <c r="N74" s="1444"/>
      <c r="O74" s="1444"/>
      <c r="P74" s="1444"/>
      <c r="Q74" s="1444"/>
      <c r="R74" s="1444"/>
      <c r="S74" s="1444"/>
      <c r="T74" s="1444"/>
      <c r="U74" s="1444"/>
      <c r="V74" s="1417"/>
      <c r="W74" s="1417"/>
      <c r="X74" s="1417"/>
      <c r="Y74" s="1417"/>
      <c r="Z74" s="1417"/>
      <c r="AA74" s="1417"/>
      <c r="AB74" s="1417"/>
      <c r="AC74" s="1417"/>
    </row>
    <row r="75" spans="1:29" s="1445" customFormat="1" ht="19.5" customHeight="1" x14ac:dyDescent="0.3">
      <c r="A75" s="1444"/>
      <c r="B75" s="1444"/>
      <c r="C75" s="1444"/>
      <c r="D75" s="1444"/>
      <c r="E75" s="1444"/>
      <c r="F75" s="1444"/>
      <c r="G75" s="1444"/>
      <c r="H75" s="1444"/>
      <c r="I75" s="1444"/>
      <c r="J75" s="1444"/>
      <c r="K75" s="1444"/>
      <c r="L75" s="1444"/>
      <c r="M75" s="1444"/>
      <c r="N75" s="1444"/>
      <c r="O75" s="1444"/>
      <c r="P75" s="1444"/>
      <c r="Q75" s="1444"/>
      <c r="R75" s="1444"/>
      <c r="S75" s="1444"/>
      <c r="T75" s="1444"/>
      <c r="U75" s="1444"/>
      <c r="V75" s="1417"/>
      <c r="W75" s="1417"/>
      <c r="X75" s="1417"/>
      <c r="Y75" s="1417"/>
      <c r="Z75" s="1417"/>
      <c r="AA75" s="1417"/>
      <c r="AB75" s="1417"/>
      <c r="AC75" s="1417"/>
    </row>
    <row r="76" spans="1:29" s="1445" customFormat="1" ht="19.5" customHeight="1" x14ac:dyDescent="0.3">
      <c r="A76" s="1444"/>
      <c r="B76" s="1444"/>
      <c r="C76" s="1444"/>
      <c r="D76" s="1444"/>
      <c r="E76" s="1444"/>
      <c r="F76" s="1444"/>
      <c r="G76" s="1444"/>
      <c r="H76" s="1444"/>
      <c r="I76" s="1444"/>
      <c r="J76" s="1444"/>
      <c r="K76" s="1444"/>
      <c r="L76" s="1444"/>
      <c r="M76" s="1444"/>
      <c r="N76" s="1444"/>
      <c r="O76" s="1444"/>
      <c r="P76" s="1444"/>
      <c r="Q76" s="1444"/>
      <c r="R76" s="1444"/>
      <c r="S76" s="1444"/>
      <c r="T76" s="1444"/>
      <c r="U76" s="1444"/>
      <c r="V76" s="1417"/>
      <c r="W76" s="1417"/>
      <c r="X76" s="1417"/>
      <c r="Y76" s="1417"/>
      <c r="Z76" s="1417"/>
      <c r="AA76" s="1417"/>
      <c r="AB76" s="1417"/>
      <c r="AC76" s="1417"/>
    </row>
    <row r="77" spans="1:29" s="1445" customFormat="1" ht="19.5" customHeight="1" x14ac:dyDescent="0.3">
      <c r="A77" s="1444"/>
      <c r="B77" s="1444"/>
      <c r="C77" s="1444"/>
      <c r="D77" s="1444"/>
      <c r="E77" s="1444"/>
      <c r="F77" s="1444"/>
      <c r="G77" s="1444"/>
      <c r="H77" s="1444"/>
      <c r="I77" s="1444"/>
      <c r="J77" s="1444"/>
      <c r="K77" s="1444"/>
      <c r="L77" s="1444"/>
      <c r="M77" s="1444"/>
      <c r="N77" s="1444"/>
      <c r="O77" s="1444"/>
      <c r="P77" s="1444"/>
      <c r="Q77" s="1444"/>
      <c r="R77" s="1444"/>
      <c r="S77" s="1444"/>
      <c r="T77" s="1444"/>
      <c r="U77" s="1444"/>
      <c r="V77" s="1417"/>
      <c r="W77" s="1417"/>
      <c r="X77" s="1417"/>
      <c r="Y77" s="1417"/>
      <c r="Z77" s="1417"/>
      <c r="AA77" s="1417"/>
      <c r="AB77" s="1417"/>
      <c r="AC77" s="1417"/>
    </row>
    <row r="78" spans="1:29" s="1445" customFormat="1" ht="19.5" customHeight="1" x14ac:dyDescent="0.3">
      <c r="A78" s="1444"/>
      <c r="B78" s="1444"/>
      <c r="C78" s="1444"/>
      <c r="D78" s="1444"/>
      <c r="E78" s="1444"/>
      <c r="F78" s="1444"/>
      <c r="G78" s="1444"/>
      <c r="H78" s="1444"/>
      <c r="I78" s="1444"/>
      <c r="J78" s="1444"/>
      <c r="K78" s="1444"/>
      <c r="L78" s="1444"/>
      <c r="M78" s="1444"/>
      <c r="N78" s="1444"/>
      <c r="O78" s="1444"/>
      <c r="P78" s="1444"/>
      <c r="Q78" s="1444"/>
      <c r="R78" s="1444"/>
      <c r="S78" s="1444"/>
      <c r="T78" s="1444"/>
      <c r="U78" s="1444"/>
      <c r="V78" s="1417"/>
      <c r="W78" s="1417"/>
      <c r="X78" s="1417"/>
      <c r="Y78" s="1417"/>
      <c r="Z78" s="1417"/>
      <c r="AA78" s="1417"/>
      <c r="AB78" s="1417"/>
      <c r="AC78" s="1417"/>
    </row>
    <row r="79" spans="1:29" s="1445" customFormat="1" ht="19.5" customHeight="1" x14ac:dyDescent="0.3">
      <c r="A79" s="1444"/>
      <c r="B79" s="1444"/>
      <c r="C79" s="1444"/>
      <c r="D79" s="1444"/>
      <c r="E79" s="1444"/>
      <c r="F79" s="1444"/>
      <c r="G79" s="1444"/>
      <c r="H79" s="1444"/>
      <c r="I79" s="1444"/>
      <c r="J79" s="1444"/>
      <c r="K79" s="1444"/>
      <c r="L79" s="1444"/>
      <c r="M79" s="1444"/>
      <c r="N79" s="1444"/>
      <c r="O79" s="1444"/>
      <c r="P79" s="1444"/>
      <c r="Q79" s="1444"/>
      <c r="R79" s="1444"/>
      <c r="S79" s="1444"/>
      <c r="T79" s="1444"/>
      <c r="U79" s="1444"/>
      <c r="V79" s="1417"/>
      <c r="W79" s="1417"/>
      <c r="X79" s="1417"/>
      <c r="Y79" s="1417"/>
      <c r="Z79" s="1417"/>
      <c r="AA79" s="1417"/>
      <c r="AB79" s="1417"/>
      <c r="AC79" s="1417"/>
    </row>
    <row r="80" spans="1:29" s="1445" customFormat="1" ht="19.5" customHeight="1" x14ac:dyDescent="0.3">
      <c r="A80" s="1444"/>
      <c r="B80" s="1444"/>
      <c r="C80" s="1444"/>
      <c r="D80" s="1444"/>
      <c r="E80" s="1444"/>
      <c r="F80" s="1444"/>
      <c r="G80" s="1444"/>
      <c r="H80" s="1444"/>
      <c r="I80" s="1444"/>
      <c r="J80" s="1444"/>
      <c r="K80" s="1444"/>
      <c r="L80" s="1444"/>
      <c r="M80" s="1444"/>
      <c r="N80" s="1444"/>
      <c r="O80" s="1444"/>
      <c r="P80" s="1444"/>
      <c r="Q80" s="1444"/>
      <c r="R80" s="1444"/>
      <c r="S80" s="1444"/>
      <c r="T80" s="1444"/>
      <c r="U80" s="1444"/>
      <c r="V80" s="1417"/>
      <c r="W80" s="1417"/>
      <c r="X80" s="1417"/>
      <c r="Y80" s="1417"/>
      <c r="Z80" s="1417"/>
      <c r="AA80" s="1417"/>
      <c r="AB80" s="1417"/>
      <c r="AC80" s="1417"/>
    </row>
    <row r="81" spans="1:29" s="1445" customFormat="1" ht="19.5" customHeight="1" x14ac:dyDescent="0.3">
      <c r="A81" s="1444"/>
      <c r="B81" s="1444"/>
      <c r="C81" s="1444"/>
      <c r="D81" s="1444"/>
      <c r="E81" s="1444"/>
      <c r="F81" s="1444"/>
      <c r="G81" s="1444"/>
      <c r="H81" s="1444"/>
      <c r="I81" s="1444"/>
      <c r="J81" s="1444"/>
      <c r="K81" s="1444"/>
      <c r="L81" s="1444"/>
      <c r="M81" s="1444"/>
      <c r="N81" s="1444"/>
      <c r="O81" s="1444"/>
      <c r="P81" s="1444"/>
      <c r="Q81" s="1444"/>
      <c r="R81" s="1444"/>
      <c r="S81" s="1444"/>
      <c r="T81" s="1444"/>
      <c r="U81" s="1444"/>
      <c r="V81" s="1417"/>
      <c r="W81" s="1417"/>
      <c r="X81" s="1417"/>
      <c r="Y81" s="1417"/>
      <c r="Z81" s="1417"/>
      <c r="AA81" s="1417"/>
      <c r="AB81" s="1417"/>
      <c r="AC81" s="1417"/>
    </row>
    <row r="82" spans="1:29" s="1445" customFormat="1" ht="19.5" customHeight="1" x14ac:dyDescent="0.3">
      <c r="A82" s="1444"/>
      <c r="B82" s="1444"/>
      <c r="C82" s="1444"/>
      <c r="D82" s="1444"/>
      <c r="E82" s="1444"/>
      <c r="F82" s="1444"/>
      <c r="G82" s="1444"/>
      <c r="H82" s="1444"/>
      <c r="I82" s="1444"/>
      <c r="J82" s="1444"/>
      <c r="K82" s="1444"/>
      <c r="L82" s="1444"/>
      <c r="M82" s="1444"/>
      <c r="N82" s="1444"/>
      <c r="O82" s="1444"/>
      <c r="P82" s="1444"/>
      <c r="Q82" s="1444"/>
      <c r="R82" s="1444"/>
      <c r="S82" s="1444"/>
      <c r="T82" s="1444"/>
      <c r="U82" s="1444"/>
      <c r="V82" s="1417"/>
      <c r="W82" s="1417"/>
      <c r="X82" s="1417"/>
      <c r="Y82" s="1417"/>
      <c r="Z82" s="1417"/>
      <c r="AA82" s="1417"/>
      <c r="AB82" s="1417"/>
      <c r="AC82" s="1417"/>
    </row>
    <row r="83" spans="1:29" s="1445" customFormat="1" ht="19.5" customHeight="1" x14ac:dyDescent="0.3">
      <c r="A83" s="1444"/>
      <c r="B83" s="1444"/>
      <c r="C83" s="1444"/>
      <c r="D83" s="1444"/>
      <c r="E83" s="1444"/>
      <c r="F83" s="1444"/>
      <c r="G83" s="1444"/>
      <c r="H83" s="1444"/>
      <c r="I83" s="1444"/>
      <c r="J83" s="1444"/>
      <c r="K83" s="1444"/>
      <c r="L83" s="1444"/>
      <c r="M83" s="1444"/>
      <c r="N83" s="1444"/>
      <c r="O83" s="1444"/>
      <c r="P83" s="1444"/>
      <c r="Q83" s="1444"/>
      <c r="R83" s="1444"/>
      <c r="S83" s="1444"/>
      <c r="T83" s="1444"/>
      <c r="U83" s="1444"/>
      <c r="V83" s="1417"/>
      <c r="W83" s="1417"/>
      <c r="X83" s="1417"/>
      <c r="Y83" s="1417"/>
      <c r="Z83" s="1417"/>
      <c r="AA83" s="1417"/>
      <c r="AB83" s="1417"/>
      <c r="AC83" s="1417"/>
    </row>
    <row r="84" spans="1:29" s="1445" customFormat="1" ht="19.5" customHeight="1" x14ac:dyDescent="0.3">
      <c r="A84" s="1444"/>
      <c r="B84" s="1444"/>
      <c r="C84" s="1444"/>
      <c r="D84" s="1444"/>
      <c r="E84" s="1444"/>
      <c r="F84" s="1444"/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17"/>
      <c r="W84" s="1417"/>
      <c r="X84" s="1417"/>
      <c r="Y84" s="1417"/>
      <c r="Z84" s="1417"/>
      <c r="AA84" s="1417"/>
      <c r="AB84" s="1417"/>
      <c r="AC84" s="1417"/>
    </row>
    <row r="85" spans="1:29" s="1445" customFormat="1" ht="19.5" customHeight="1" x14ac:dyDescent="0.3">
      <c r="A85" s="1444"/>
      <c r="B85" s="1444"/>
      <c r="C85" s="1444"/>
      <c r="D85" s="1444"/>
      <c r="E85" s="1444"/>
      <c r="F85" s="1444"/>
      <c r="G85" s="1444"/>
      <c r="H85" s="1444"/>
      <c r="I85" s="1444"/>
      <c r="J85" s="1444"/>
      <c r="K85" s="1444"/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17"/>
      <c r="W85" s="1417"/>
      <c r="X85" s="1417"/>
      <c r="Y85" s="1417"/>
      <c r="Z85" s="1417"/>
      <c r="AA85" s="1417"/>
      <c r="AB85" s="1417"/>
      <c r="AC85" s="1417"/>
    </row>
    <row r="86" spans="1:29" s="1445" customFormat="1" ht="19.5" customHeight="1" x14ac:dyDescent="0.3">
      <c r="A86" s="1444"/>
      <c r="B86" s="1444"/>
      <c r="C86" s="1444"/>
      <c r="D86" s="1444"/>
      <c r="E86" s="1444"/>
      <c r="F86" s="1444"/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17"/>
      <c r="W86" s="1417"/>
      <c r="X86" s="1417"/>
      <c r="Y86" s="1417"/>
      <c r="Z86" s="1417"/>
      <c r="AA86" s="1417"/>
      <c r="AB86" s="1417"/>
      <c r="AC86" s="1417"/>
    </row>
    <row r="87" spans="1:29" s="1445" customFormat="1" ht="19.5" customHeight="1" x14ac:dyDescent="0.3">
      <c r="A87" s="1444"/>
      <c r="B87" s="1444"/>
      <c r="C87" s="1444"/>
      <c r="D87" s="1444"/>
      <c r="E87" s="1444"/>
      <c r="F87" s="1444"/>
      <c r="G87" s="1444"/>
      <c r="H87" s="1444"/>
      <c r="I87" s="1444"/>
      <c r="J87" s="1444"/>
      <c r="K87" s="1444"/>
      <c r="L87" s="1444"/>
      <c r="M87" s="1444"/>
      <c r="N87" s="1444"/>
      <c r="O87" s="1444"/>
      <c r="P87" s="1444"/>
      <c r="Q87" s="1444"/>
      <c r="R87" s="1444"/>
      <c r="S87" s="1444"/>
      <c r="T87" s="1444"/>
      <c r="U87" s="1444"/>
      <c r="V87" s="1417"/>
      <c r="W87" s="1417"/>
      <c r="X87" s="1417"/>
      <c r="Y87" s="1417"/>
      <c r="Z87" s="1417"/>
      <c r="AA87" s="1417"/>
      <c r="AB87" s="1417"/>
      <c r="AC87" s="1417"/>
    </row>
    <row r="88" spans="1:29" s="1445" customFormat="1" ht="19.5" customHeight="1" x14ac:dyDescent="0.3">
      <c r="A88" s="1444"/>
      <c r="B88" s="1444"/>
      <c r="C88" s="1444"/>
      <c r="D88" s="1444"/>
      <c r="E88" s="1444"/>
      <c r="F88" s="1444"/>
      <c r="G88" s="1444"/>
      <c r="H88" s="1444"/>
      <c r="I88" s="1444"/>
      <c r="J88" s="1444"/>
      <c r="K88" s="1444"/>
      <c r="L88" s="1444"/>
      <c r="M88" s="1444"/>
      <c r="N88" s="1444"/>
      <c r="O88" s="1444"/>
      <c r="P88" s="1444"/>
      <c r="Q88" s="1444"/>
      <c r="R88" s="1444"/>
      <c r="S88" s="1444"/>
      <c r="T88" s="1444"/>
      <c r="U88" s="1444"/>
      <c r="V88" s="1417"/>
      <c r="W88" s="1417"/>
      <c r="X88" s="1417"/>
      <c r="Y88" s="1417"/>
      <c r="Z88" s="1417"/>
      <c r="AA88" s="1417"/>
      <c r="AB88" s="1417"/>
      <c r="AC88" s="1417"/>
    </row>
    <row r="89" spans="1:29" s="1445" customFormat="1" ht="19.5" customHeight="1" x14ac:dyDescent="0.3">
      <c r="A89" s="1444"/>
      <c r="B89" s="1444"/>
      <c r="C89" s="1444"/>
      <c r="D89" s="1444"/>
      <c r="E89" s="1444"/>
      <c r="F89" s="1444"/>
      <c r="G89" s="1444"/>
      <c r="H89" s="1444"/>
      <c r="I89" s="1444"/>
      <c r="J89" s="1444"/>
      <c r="K89" s="1444"/>
      <c r="L89" s="1444"/>
      <c r="M89" s="1444"/>
      <c r="N89" s="1444"/>
      <c r="O89" s="1444"/>
      <c r="P89" s="1444"/>
      <c r="Q89" s="1444"/>
      <c r="R89" s="1444"/>
      <c r="S89" s="1444"/>
      <c r="T89" s="1444"/>
      <c r="U89" s="1444"/>
      <c r="V89" s="1417"/>
      <c r="W89" s="1417"/>
      <c r="X89" s="1417"/>
      <c r="Y89" s="1417"/>
      <c r="Z89" s="1417"/>
      <c r="AA89" s="1417"/>
      <c r="AB89" s="1417"/>
      <c r="AC89" s="1417"/>
    </row>
    <row r="90" spans="1:29" s="1445" customFormat="1" ht="19.5" customHeight="1" x14ac:dyDescent="0.3">
      <c r="A90" s="1444"/>
      <c r="B90" s="1444"/>
      <c r="C90" s="1444"/>
      <c r="D90" s="1444"/>
      <c r="E90" s="1444"/>
      <c r="F90" s="1444"/>
      <c r="G90" s="1444"/>
      <c r="H90" s="1444"/>
      <c r="I90" s="1444"/>
      <c r="J90" s="1444"/>
      <c r="K90" s="1444"/>
      <c r="L90" s="1444"/>
      <c r="M90" s="1444"/>
      <c r="N90" s="1444"/>
      <c r="O90" s="1444"/>
      <c r="P90" s="1444"/>
      <c r="Q90" s="1444"/>
      <c r="R90" s="1444"/>
      <c r="S90" s="1444"/>
      <c r="T90" s="1444"/>
      <c r="U90" s="1444"/>
      <c r="V90" s="1417"/>
      <c r="W90" s="1417"/>
      <c r="X90" s="1417"/>
      <c r="Y90" s="1417"/>
      <c r="Z90" s="1417"/>
      <c r="AA90" s="1417"/>
      <c r="AB90" s="1417"/>
      <c r="AC90" s="1417"/>
    </row>
    <row r="91" spans="1:29" ht="19.5" customHeight="1" x14ac:dyDescent="0.3">
      <c r="U91" s="1417"/>
    </row>
    <row r="92" spans="1:29" ht="19.5" customHeight="1" x14ac:dyDescent="0.3">
      <c r="U92" s="1417"/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/>
  <dimension ref="A1:V23"/>
  <sheetViews>
    <sheetView workbookViewId="0">
      <selection activeCell="Y11" sqref="Y11"/>
    </sheetView>
  </sheetViews>
  <sheetFormatPr defaultColWidth="8.8984375" defaultRowHeight="23.4" x14ac:dyDescent="0.45"/>
  <cols>
    <col min="1" max="1" width="2.69921875" style="783" customWidth="1"/>
    <col min="2" max="2" width="4.3984375" style="695" customWidth="1"/>
    <col min="3" max="3" width="2.8984375" style="695" customWidth="1"/>
    <col min="4" max="4" width="5.19921875" style="695" customWidth="1"/>
    <col min="5" max="5" width="4.09765625" style="695" customWidth="1"/>
    <col min="6" max="6" width="4.8984375" style="695" customWidth="1"/>
    <col min="7" max="7" width="6.09765625" style="695" customWidth="1"/>
    <col min="8" max="8" width="4.5" style="695" customWidth="1"/>
    <col min="9" max="9" width="4.8984375" style="695" customWidth="1"/>
    <col min="10" max="10" width="5.8984375" style="695" customWidth="1"/>
    <col min="11" max="11" width="5.19921875" style="695" customWidth="1"/>
    <col min="12" max="12" width="5.09765625" style="695" customWidth="1"/>
    <col min="13" max="13" width="1.69921875" style="695" customWidth="1"/>
    <col min="14" max="14" width="3.3984375" style="695" customWidth="1"/>
    <col min="15" max="15" width="8.8984375" style="695" customWidth="1"/>
    <col min="16" max="16" width="4.5" style="695" customWidth="1"/>
    <col min="17" max="17" width="20" style="695" customWidth="1"/>
    <col min="18" max="18" width="4" style="783" customWidth="1"/>
    <col min="19" max="16384" width="8.8984375" style="695"/>
  </cols>
  <sheetData>
    <row r="1" spans="1:22" ht="16.5" customHeight="1" x14ac:dyDescent="0.45">
      <c r="A1" s="783" t="str">
        <f>Inicio!J6</f>
        <v>Estudante</v>
      </c>
      <c r="B1" s="783"/>
      <c r="C1" s="783"/>
      <c r="D1" s="783"/>
      <c r="E1" s="783" t="s">
        <v>256</v>
      </c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S1" s="784"/>
      <c r="T1" s="784"/>
      <c r="U1" s="784"/>
      <c r="V1" s="784"/>
    </row>
    <row r="2" spans="1:22" ht="25.5" customHeight="1" x14ac:dyDescent="0.45"/>
    <row r="3" spans="1:22" ht="25.5" customHeight="1" x14ac:dyDescent="0.45"/>
    <row r="4" spans="1:22" ht="33" customHeight="1" x14ac:dyDescent="0.45"/>
    <row r="5" spans="1:22" ht="24.75" customHeight="1" x14ac:dyDescent="0.45"/>
    <row r="6" spans="1:22" ht="18.75" customHeight="1" x14ac:dyDescent="0.45"/>
    <row r="7" spans="1:22" ht="20.25" customHeight="1" thickBot="1" x14ac:dyDescent="0.5">
      <c r="L7" s="1530" t="s">
        <v>3</v>
      </c>
      <c r="M7" s="1530" t="s">
        <v>296</v>
      </c>
      <c r="N7" s="1530"/>
      <c r="O7" s="697"/>
    </row>
    <row r="8" spans="1:22" ht="21.75" customHeight="1" thickBot="1" x14ac:dyDescent="0.5">
      <c r="B8" s="812" t="s">
        <v>297</v>
      </c>
      <c r="C8" s="780" t="s">
        <v>3</v>
      </c>
      <c r="D8" s="1985">
        <v>72</v>
      </c>
      <c r="E8" s="1986"/>
      <c r="F8" s="696" t="s">
        <v>278</v>
      </c>
      <c r="G8" s="810">
        <f>D10</f>
        <v>6</v>
      </c>
      <c r="I8" s="1957" t="s">
        <v>298</v>
      </c>
      <c r="J8" s="1957"/>
      <c r="K8" s="1957"/>
      <c r="L8" s="1530"/>
      <c r="M8" s="1530"/>
      <c r="N8" s="1530"/>
      <c r="O8" s="697"/>
      <c r="P8" s="697"/>
      <c r="Q8" s="697"/>
    </row>
    <row r="9" spans="1:22" ht="6.75" customHeight="1" thickBot="1" x14ac:dyDescent="0.5">
      <c r="B9" s="780"/>
      <c r="C9" s="780"/>
      <c r="D9" s="696"/>
      <c r="E9" s="696"/>
      <c r="F9" s="701"/>
      <c r="G9" s="2127" t="s">
        <v>293</v>
      </c>
      <c r="H9" s="1530" t="s">
        <v>3</v>
      </c>
      <c r="I9" s="2127" t="s">
        <v>301</v>
      </c>
      <c r="J9" s="2127"/>
      <c r="K9" s="2127"/>
      <c r="L9" s="1530"/>
      <c r="M9" s="1530"/>
      <c r="N9" s="1530"/>
      <c r="O9" s="697"/>
      <c r="P9" s="697"/>
      <c r="Q9" s="697"/>
    </row>
    <row r="10" spans="1:22" ht="21.75" customHeight="1" thickBot="1" x14ac:dyDescent="0.5">
      <c r="B10" s="809" t="s">
        <v>22</v>
      </c>
      <c r="C10" s="807" t="s">
        <v>3</v>
      </c>
      <c r="D10" s="1953">
        <v>6</v>
      </c>
      <c r="E10" s="1954"/>
      <c r="F10" s="696" t="s">
        <v>265</v>
      </c>
      <c r="G10" s="2128"/>
      <c r="H10" s="1530"/>
      <c r="I10" s="2128"/>
      <c r="J10" s="2128"/>
      <c r="K10" s="2128"/>
      <c r="L10" s="1530"/>
      <c r="M10" s="1530"/>
      <c r="N10" s="1530"/>
      <c r="O10" s="697"/>
      <c r="P10" s="697"/>
      <c r="Q10" s="697"/>
    </row>
    <row r="11" spans="1:22" ht="26.25" customHeight="1" x14ac:dyDescent="0.45">
      <c r="B11" s="805" t="s">
        <v>294</v>
      </c>
      <c r="C11" s="805"/>
      <c r="D11" s="772"/>
      <c r="E11" s="806">
        <f>90-D8</f>
        <v>18</v>
      </c>
      <c r="F11" s="806" t="s">
        <v>278</v>
      </c>
      <c r="G11" s="701"/>
      <c r="H11" s="701"/>
      <c r="I11" s="701"/>
      <c r="J11" s="701"/>
      <c r="K11" s="701"/>
      <c r="L11" s="701"/>
      <c r="M11" s="701"/>
      <c r="N11" s="701"/>
      <c r="O11" s="697"/>
      <c r="P11" s="697"/>
      <c r="Q11" s="697"/>
    </row>
    <row r="12" spans="1:22" ht="17.25" customHeight="1" x14ac:dyDescent="0.45">
      <c r="G12" s="811" t="s">
        <v>292</v>
      </c>
      <c r="H12" s="1530" t="s">
        <v>3</v>
      </c>
      <c r="I12" s="1957" t="s">
        <v>299</v>
      </c>
      <c r="J12" s="1957"/>
      <c r="K12" s="1957"/>
      <c r="L12" s="1530" t="s">
        <v>3</v>
      </c>
      <c r="M12" s="1530" t="s">
        <v>302</v>
      </c>
      <c r="N12" s="1530"/>
      <c r="O12" s="697"/>
      <c r="P12" s="697"/>
      <c r="Q12" s="697"/>
    </row>
    <row r="13" spans="1:22" x14ac:dyDescent="0.45">
      <c r="G13" s="809">
        <f>B18</f>
        <v>6</v>
      </c>
      <c r="H13" s="1530"/>
      <c r="I13" s="1958" t="s">
        <v>298</v>
      </c>
      <c r="J13" s="1952"/>
      <c r="K13" s="1952"/>
      <c r="L13" s="1530"/>
      <c r="M13" s="1530"/>
      <c r="N13" s="1530"/>
      <c r="O13" s="697"/>
      <c r="P13" s="697"/>
      <c r="Q13" s="697"/>
    </row>
    <row r="14" spans="1:22" ht="15.75" customHeight="1" x14ac:dyDescent="0.45">
      <c r="D14" s="700"/>
      <c r="E14" s="700"/>
      <c r="F14" s="918"/>
      <c r="L14" s="696"/>
      <c r="M14" s="696"/>
      <c r="N14" s="696"/>
      <c r="O14" s="697"/>
      <c r="P14" s="697"/>
      <c r="Q14" s="697"/>
    </row>
    <row r="15" spans="1:22" ht="15.75" customHeight="1" x14ac:dyDescent="0.45">
      <c r="B15" s="808"/>
      <c r="C15" s="808"/>
      <c r="D15" s="700"/>
      <c r="E15" s="700"/>
      <c r="F15" s="918"/>
      <c r="G15" s="811" t="str">
        <f>B16</f>
        <v>y</v>
      </c>
      <c r="H15" s="1530" t="s">
        <v>3</v>
      </c>
      <c r="I15" s="1957" t="s">
        <v>295</v>
      </c>
      <c r="J15" s="1957"/>
      <c r="K15" s="1957"/>
      <c r="L15" s="1530" t="s">
        <v>3</v>
      </c>
      <c r="M15" s="1530" t="s">
        <v>303</v>
      </c>
      <c r="N15" s="1530"/>
      <c r="O15" s="697"/>
      <c r="P15" s="697"/>
      <c r="Q15" s="697"/>
    </row>
    <row r="16" spans="1:22" ht="23.25" customHeight="1" x14ac:dyDescent="0.45">
      <c r="B16" s="808" t="s">
        <v>292</v>
      </c>
      <c r="C16" s="808"/>
      <c r="D16" s="704" t="s">
        <v>293</v>
      </c>
      <c r="E16" s="782"/>
      <c r="G16" s="813" t="s">
        <v>293</v>
      </c>
      <c r="H16" s="1530"/>
      <c r="I16" s="2129" t="s">
        <v>300</v>
      </c>
      <c r="J16" s="2129"/>
      <c r="K16" s="2129"/>
      <c r="L16" s="1530"/>
      <c r="M16" s="1530"/>
      <c r="N16" s="1530"/>
      <c r="O16" s="697"/>
      <c r="P16" s="697"/>
      <c r="Q16" s="697"/>
    </row>
    <row r="17" spans="2:17" x14ac:dyDescent="0.45">
      <c r="B17" s="808"/>
      <c r="C17" s="808"/>
      <c r="D17" s="698"/>
      <c r="E17" s="696"/>
      <c r="F17" s="696"/>
      <c r="O17" s="697"/>
      <c r="P17" s="697"/>
      <c r="Q17" s="697"/>
    </row>
    <row r="18" spans="2:17" x14ac:dyDescent="0.45">
      <c r="B18" s="2130">
        <f>D10</f>
        <v>6</v>
      </c>
      <c r="C18" s="2130"/>
      <c r="D18" s="2130"/>
      <c r="E18" s="2130"/>
      <c r="O18" s="697"/>
      <c r="P18" s="697"/>
      <c r="Q18" s="697"/>
    </row>
    <row r="19" spans="2:17" ht="24" thickBot="1" x14ac:dyDescent="0.5">
      <c r="B19" s="2130"/>
      <c r="C19" s="2130"/>
      <c r="D19" s="2130"/>
      <c r="E19" s="2130"/>
      <c r="O19" s="697"/>
      <c r="P19" s="697"/>
      <c r="Q19" s="697"/>
    </row>
    <row r="20" spans="2:17" x14ac:dyDescent="0.45">
      <c r="B20" s="814">
        <v>4</v>
      </c>
      <c r="C20" s="1960" t="s">
        <v>3</v>
      </c>
      <c r="D20" s="1960" t="s">
        <v>3</v>
      </c>
      <c r="E20" s="2131" t="str">
        <f>CONCATENATE("cos(",D8,"°)")</f>
        <v>cos(72°)</v>
      </c>
      <c r="F20" s="2131"/>
      <c r="G20" s="2131"/>
      <c r="H20" s="2132" t="s">
        <v>289</v>
      </c>
      <c r="I20" s="2134" t="str">
        <f>B21</f>
        <v>z</v>
      </c>
      <c r="J20" s="1960" t="str">
        <f>C20</f>
        <v>=</v>
      </c>
      <c r="K20" s="2131">
        <f>B20</f>
        <v>4</v>
      </c>
      <c r="L20" s="2131"/>
      <c r="M20" s="2131"/>
      <c r="N20" s="790"/>
      <c r="O20" s="1960" t="s">
        <v>3</v>
      </c>
      <c r="P20" s="1960">
        <f>K20/COS(D8/180*PI())</f>
        <v>12.944271909999157</v>
      </c>
      <c r="Q20" s="2141"/>
    </row>
    <row r="21" spans="2:17" ht="24" thickBot="1" x14ac:dyDescent="0.5">
      <c r="B21" s="793" t="s">
        <v>293</v>
      </c>
      <c r="C21" s="1961"/>
      <c r="D21" s="1961"/>
      <c r="E21" s="791"/>
      <c r="F21" s="791">
        <v>1</v>
      </c>
      <c r="G21" s="791"/>
      <c r="H21" s="2133"/>
      <c r="I21" s="2135"/>
      <c r="J21" s="1961"/>
      <c r="K21" s="1973" t="str">
        <f>E20</f>
        <v>cos(72°)</v>
      </c>
      <c r="L21" s="1973"/>
      <c r="M21" s="1973"/>
      <c r="N21" s="791"/>
      <c r="O21" s="1961"/>
      <c r="P21" s="1961"/>
      <c r="Q21" s="2003"/>
    </row>
    <row r="22" spans="2:17" x14ac:dyDescent="0.45">
      <c r="B22" s="819" t="str">
        <f>G12</f>
        <v>y</v>
      </c>
      <c r="C22" s="1989" t="s">
        <v>3</v>
      </c>
      <c r="D22" s="1989"/>
      <c r="E22" s="817" t="str">
        <f>CONCATENATE("tg(",D8,"°)")</f>
        <v>tg(72°)</v>
      </c>
      <c r="F22" s="817"/>
      <c r="G22" s="818"/>
      <c r="H22" s="2136" t="s">
        <v>289</v>
      </c>
      <c r="I22" s="2137" t="str">
        <f>B22</f>
        <v>y</v>
      </c>
      <c r="J22" s="2139" t="s">
        <v>3</v>
      </c>
      <c r="K22" s="1989" t="str">
        <f>CONCATENATE(B23, " x ",E22)</f>
        <v>6 x tg(72°)</v>
      </c>
      <c r="L22" s="1989"/>
      <c r="M22" s="1989"/>
      <c r="N22" s="1989"/>
      <c r="O22" s="1989" t="s">
        <v>3</v>
      </c>
      <c r="P22" s="816"/>
      <c r="Q22" s="2140">
        <f>4*TAN(D8/180*PI())</f>
        <v>12.310734148701011</v>
      </c>
    </row>
    <row r="23" spans="2:17" ht="24" thickBot="1" x14ac:dyDescent="0.5">
      <c r="B23" s="793">
        <f>G13</f>
        <v>6</v>
      </c>
      <c r="C23" s="1961"/>
      <c r="D23" s="1961"/>
      <c r="E23" s="1961">
        <v>1</v>
      </c>
      <c r="F23" s="1961"/>
      <c r="G23" s="791"/>
      <c r="H23" s="1963"/>
      <c r="I23" s="2138"/>
      <c r="J23" s="2133"/>
      <c r="K23" s="1961"/>
      <c r="L23" s="1961"/>
      <c r="M23" s="1961"/>
      <c r="N23" s="1961"/>
      <c r="O23" s="1961"/>
      <c r="P23" s="815"/>
      <c r="Q23" s="2003"/>
    </row>
  </sheetData>
  <mergeCells count="36">
    <mergeCell ref="Q22:Q23"/>
    <mergeCell ref="E23:F23"/>
    <mergeCell ref="K20:M20"/>
    <mergeCell ref="O20:O21"/>
    <mergeCell ref="P20:Q21"/>
    <mergeCell ref="K21:M21"/>
    <mergeCell ref="O22:O23"/>
    <mergeCell ref="J20:J21"/>
    <mergeCell ref="C22:D23"/>
    <mergeCell ref="H22:H23"/>
    <mergeCell ref="I22:I23"/>
    <mergeCell ref="J22:J23"/>
    <mergeCell ref="K22:N23"/>
    <mergeCell ref="B18:E19"/>
    <mergeCell ref="C20:D21"/>
    <mergeCell ref="E20:G20"/>
    <mergeCell ref="H20:H21"/>
    <mergeCell ref="I20:I21"/>
    <mergeCell ref="H12:H13"/>
    <mergeCell ref="I12:K12"/>
    <mergeCell ref="L12:L13"/>
    <mergeCell ref="M12:N13"/>
    <mergeCell ref="I13:K13"/>
    <mergeCell ref="H15:H16"/>
    <mergeCell ref="I15:K15"/>
    <mergeCell ref="L15:L16"/>
    <mergeCell ref="M15:N16"/>
    <mergeCell ref="I16:K16"/>
    <mergeCell ref="L7:L10"/>
    <mergeCell ref="M7:N10"/>
    <mergeCell ref="D8:E8"/>
    <mergeCell ref="I8:K8"/>
    <mergeCell ref="G9:G10"/>
    <mergeCell ref="H9:H10"/>
    <mergeCell ref="I9:K10"/>
    <mergeCell ref="D10:E10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/>
  <dimension ref="A1:T176"/>
  <sheetViews>
    <sheetView workbookViewId="0">
      <selection activeCell="S7" sqref="S7"/>
    </sheetView>
  </sheetViews>
  <sheetFormatPr defaultColWidth="28.09765625" defaultRowHeight="16.5" customHeight="1" x14ac:dyDescent="0.4"/>
  <cols>
    <col min="1" max="1" width="2.19921875" style="768" customWidth="1"/>
    <col min="2" max="2" width="4.3984375" style="709" customWidth="1"/>
    <col min="3" max="3" width="7.5" style="713" customWidth="1"/>
    <col min="4" max="4" width="8.3984375" style="709" customWidth="1"/>
    <col min="5" max="5" width="5.8984375" style="709" customWidth="1"/>
    <col min="6" max="7" width="3.69921875" style="709" customWidth="1"/>
    <col min="8" max="8" width="6.19921875" style="709" customWidth="1"/>
    <col min="9" max="9" width="4.3984375" style="709" customWidth="1"/>
    <col min="10" max="10" width="5.3984375" style="709" customWidth="1"/>
    <col min="11" max="11" width="3.69921875" style="709" customWidth="1"/>
    <col min="12" max="12" width="3.8984375" style="709" customWidth="1"/>
    <col min="13" max="13" width="6.3984375" style="709" customWidth="1"/>
    <col min="14" max="14" width="11.8984375" style="709" customWidth="1"/>
    <col min="15" max="15" width="15.19921875" style="709" customWidth="1"/>
    <col min="16" max="16" width="1.8984375" style="709" bestFit="1" customWidth="1"/>
    <col min="17" max="17" width="10.8984375" style="709" customWidth="1"/>
    <col min="18" max="18" width="5.19921875" style="709" customWidth="1"/>
    <col min="19" max="19" width="10.59765625" style="709" customWidth="1"/>
    <col min="20" max="20" width="10.59765625" customWidth="1"/>
    <col min="21" max="30" width="10.59765625" style="709" customWidth="1"/>
    <col min="31" max="16384" width="28.09765625" style="709"/>
  </cols>
  <sheetData>
    <row r="1" spans="1:20" ht="21" x14ac:dyDescent="0.4">
      <c r="A1" s="768" t="str">
        <f>Inicio!J6</f>
        <v>Estudante</v>
      </c>
      <c r="B1" s="768"/>
      <c r="C1" s="769"/>
      <c r="D1" s="768" t="s">
        <v>256</v>
      </c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T1" s="709"/>
    </row>
    <row r="2" spans="1:20" ht="21" x14ac:dyDescent="0.4">
      <c r="B2" s="710" t="s">
        <v>232</v>
      </c>
      <c r="C2" s="709"/>
      <c r="D2" s="711"/>
      <c r="E2" s="711"/>
      <c r="H2" s="712">
        <v>18</v>
      </c>
      <c r="I2" s="709" t="s">
        <v>219</v>
      </c>
      <c r="O2" s="740">
        <v>24000</v>
      </c>
      <c r="P2" s="769"/>
      <c r="T2" s="709"/>
    </row>
    <row r="3" spans="1:20" ht="21" x14ac:dyDescent="0.4">
      <c r="B3" s="710" t="s">
        <v>233</v>
      </c>
      <c r="C3" s="709"/>
      <c r="P3" s="769"/>
      <c r="T3" s="709"/>
    </row>
    <row r="4" spans="1:20" ht="21" x14ac:dyDescent="0.4">
      <c r="B4" s="710" t="s">
        <v>228</v>
      </c>
      <c r="C4" s="709"/>
      <c r="P4" s="769"/>
      <c r="T4" s="709"/>
    </row>
    <row r="5" spans="1:20" ht="21" x14ac:dyDescent="0.4">
      <c r="P5" s="769"/>
      <c r="T5" s="709"/>
    </row>
    <row r="6" spans="1:20" ht="21.6" thickBot="1" x14ac:dyDescent="0.45">
      <c r="B6" s="713"/>
      <c r="C6" s="714" t="s">
        <v>225</v>
      </c>
      <c r="D6" s="715"/>
      <c r="E6" s="743" t="s">
        <v>234</v>
      </c>
      <c r="F6" s="716"/>
      <c r="G6" s="716"/>
      <c r="H6" s="715"/>
      <c r="I6" s="717" t="s">
        <v>226</v>
      </c>
      <c r="J6" s="718"/>
      <c r="K6" s="718"/>
      <c r="L6" s="719"/>
      <c r="P6" s="769"/>
      <c r="T6" s="709"/>
    </row>
    <row r="7" spans="1:20" ht="21" x14ac:dyDescent="0.4">
      <c r="B7" s="741" t="s">
        <v>13</v>
      </c>
      <c r="C7" s="1622">
        <v>100</v>
      </c>
      <c r="D7" s="2142"/>
      <c r="E7" s="2143">
        <f>H2</f>
        <v>18</v>
      </c>
      <c r="F7" s="2144"/>
      <c r="G7" s="2144"/>
      <c r="H7" s="2144"/>
      <c r="I7" s="1624">
        <f>C7-E7</f>
        <v>82</v>
      </c>
      <c r="J7" s="1625"/>
      <c r="K7" s="1625"/>
      <c r="L7" s="1626"/>
      <c r="N7" s="1659" t="s">
        <v>224</v>
      </c>
      <c r="O7" s="1659"/>
      <c r="P7" s="769"/>
      <c r="T7" s="709"/>
    </row>
    <row r="8" spans="1:20" ht="21.6" thickBot="1" x14ac:dyDescent="0.45">
      <c r="B8" s="720" t="s">
        <v>20</v>
      </c>
      <c r="C8" s="2145" t="s">
        <v>222</v>
      </c>
      <c r="D8" s="2145"/>
      <c r="E8" s="2146" t="s">
        <v>238</v>
      </c>
      <c r="F8" s="2146"/>
      <c r="G8" s="2146"/>
      <c r="H8" s="2147"/>
      <c r="I8" s="2148">
        <f>O2</f>
        <v>24000</v>
      </c>
      <c r="J8" s="2149"/>
      <c r="K8" s="2150"/>
      <c r="L8" s="2151"/>
      <c r="N8" s="1659"/>
      <c r="O8" s="1659"/>
      <c r="P8" s="769"/>
      <c r="T8" s="709"/>
    </row>
    <row r="9" spans="1:20" ht="21" x14ac:dyDescent="0.4">
      <c r="C9" s="709"/>
      <c r="P9" s="769"/>
      <c r="T9" s="709"/>
    </row>
    <row r="10" spans="1:20" ht="21" x14ac:dyDescent="0.4">
      <c r="B10" s="713"/>
      <c r="D10" s="1009">
        <f>C7</f>
        <v>100</v>
      </c>
      <c r="E10" s="1604" t="s">
        <v>3</v>
      </c>
      <c r="F10" s="2152">
        <f>E7</f>
        <v>18</v>
      </c>
      <c r="G10" s="2152"/>
      <c r="H10" s="2152"/>
      <c r="I10" s="1604" t="s">
        <v>3</v>
      </c>
      <c r="J10" s="1603">
        <f>I7</f>
        <v>82</v>
      </c>
      <c r="K10" s="1603"/>
      <c r="L10" s="1603"/>
      <c r="M10" s="722"/>
      <c r="N10" s="722"/>
      <c r="O10" s="722"/>
      <c r="P10" s="769"/>
      <c r="T10" s="709"/>
    </row>
    <row r="11" spans="1:20" ht="21" x14ac:dyDescent="0.4">
      <c r="B11" s="713"/>
      <c r="D11" s="723" t="str">
        <f>C8</f>
        <v>V</v>
      </c>
      <c r="E11" s="1604"/>
      <c r="F11" s="2153" t="str">
        <f>E8</f>
        <v>D</v>
      </c>
      <c r="G11" s="2153"/>
      <c r="H11" s="2153"/>
      <c r="I11" s="1604"/>
      <c r="J11" s="2154">
        <f>I8</f>
        <v>24000</v>
      </c>
      <c r="K11" s="2154"/>
      <c r="L11" s="2154"/>
      <c r="M11" s="722"/>
      <c r="N11" s="708"/>
      <c r="O11" s="708"/>
      <c r="P11" s="769"/>
      <c r="T11" s="709"/>
    </row>
    <row r="12" spans="1:20" ht="21" x14ac:dyDescent="0.4">
      <c r="B12" s="717"/>
      <c r="C12" s="703" t="str">
        <f>I6</f>
        <v>Valor novo</v>
      </c>
      <c r="D12" s="718"/>
      <c r="E12" s="718"/>
      <c r="F12" s="702" t="str">
        <f>E6</f>
        <v>Desconto</v>
      </c>
      <c r="G12" s="702"/>
      <c r="H12" s="719"/>
      <c r="O12" s="713"/>
      <c r="P12" s="769"/>
      <c r="T12" s="709"/>
    </row>
    <row r="13" spans="1:20" ht="21" x14ac:dyDescent="0.4">
      <c r="B13" s="742" t="s">
        <v>13</v>
      </c>
      <c r="C13" s="1602">
        <f>I7</f>
        <v>82</v>
      </c>
      <c r="D13" s="1603"/>
      <c r="E13" s="1604" t="s">
        <v>3</v>
      </c>
      <c r="F13" s="2152">
        <f>F10</f>
        <v>18</v>
      </c>
      <c r="G13" s="2152"/>
      <c r="H13" s="2155"/>
      <c r="I13" s="2156"/>
      <c r="P13" s="769"/>
      <c r="T13" s="709"/>
    </row>
    <row r="14" spans="1:20" ht="21" x14ac:dyDescent="0.4">
      <c r="B14" s="724" t="s">
        <v>20</v>
      </c>
      <c r="C14" s="2157">
        <f>J11</f>
        <v>24000</v>
      </c>
      <c r="D14" s="2158"/>
      <c r="E14" s="1592"/>
      <c r="F14" s="1610" t="str">
        <f>F11</f>
        <v>D</v>
      </c>
      <c r="G14" s="1610"/>
      <c r="H14" s="1611"/>
      <c r="I14" s="1672"/>
      <c r="P14" s="769"/>
      <c r="S14" s="1016"/>
      <c r="T14" s="709"/>
    </row>
    <row r="15" spans="1:20" s="725" customFormat="1" ht="21" x14ac:dyDescent="0.4">
      <c r="A15" s="768"/>
      <c r="P15" s="769"/>
    </row>
    <row r="16" spans="1:20" s="725" customFormat="1" ht="21" x14ac:dyDescent="0.4">
      <c r="A16" s="768"/>
      <c r="B16" s="1586">
        <f>C13</f>
        <v>82</v>
      </c>
      <c r="C16" s="1587"/>
      <c r="D16" s="736" t="s">
        <v>22</v>
      </c>
      <c r="E16" s="737" t="str">
        <f>F14</f>
        <v>D</v>
      </c>
      <c r="F16" s="736" t="s">
        <v>3</v>
      </c>
      <c r="G16" s="736"/>
      <c r="H16" s="1588">
        <f>C14</f>
        <v>24000</v>
      </c>
      <c r="I16" s="1588"/>
      <c r="J16" s="1588"/>
      <c r="K16" s="738" t="s">
        <v>22</v>
      </c>
      <c r="L16" s="1635">
        <f>F13</f>
        <v>18</v>
      </c>
      <c r="M16" s="1635"/>
      <c r="N16" s="1636"/>
      <c r="P16" s="769"/>
    </row>
    <row r="17" spans="1:20" s="725" customFormat="1" ht="21" x14ac:dyDescent="0.4">
      <c r="A17" s="768"/>
      <c r="B17" s="2159" t="str">
        <f>F14</f>
        <v>D</v>
      </c>
      <c r="C17" s="1591" t="s">
        <v>3</v>
      </c>
      <c r="D17" s="2160">
        <f>H16</f>
        <v>24000</v>
      </c>
      <c r="E17" s="2160"/>
      <c r="F17" s="1015" t="s">
        <v>22</v>
      </c>
      <c r="G17" s="735"/>
      <c r="H17" s="1012">
        <f>F13</f>
        <v>18</v>
      </c>
      <c r="I17" s="1596" t="s">
        <v>3</v>
      </c>
      <c r="J17" s="2161">
        <f>D17*H17/D18</f>
        <v>5268.292682926829</v>
      </c>
      <c r="K17" s="2161"/>
      <c r="L17" s="2162"/>
      <c r="P17" s="769"/>
    </row>
    <row r="18" spans="1:20" s="725" customFormat="1" ht="21" x14ac:dyDescent="0.4">
      <c r="A18" s="768"/>
      <c r="B18" s="1590"/>
      <c r="C18" s="1592"/>
      <c r="D18" s="2015">
        <f>B16</f>
        <v>82</v>
      </c>
      <c r="E18" s="2015"/>
      <c r="F18" s="2015"/>
      <c r="G18" s="2015"/>
      <c r="H18" s="2015"/>
      <c r="I18" s="1597"/>
      <c r="J18" s="2163"/>
      <c r="K18" s="2163"/>
      <c r="L18" s="2164"/>
      <c r="P18" s="769"/>
    </row>
    <row r="19" spans="1:20" ht="21" x14ac:dyDescent="0.4">
      <c r="B19" s="727"/>
      <c r="C19" s="727"/>
      <c r="D19" s="727"/>
      <c r="E19" s="727"/>
      <c r="F19" s="713"/>
      <c r="G19" s="713"/>
      <c r="H19" s="713"/>
      <c r="I19" s="713"/>
      <c r="J19" s="713"/>
      <c r="K19" s="713"/>
      <c r="L19" s="713"/>
      <c r="M19" s="713"/>
      <c r="P19" s="769"/>
      <c r="T19" s="709"/>
    </row>
    <row r="20" spans="1:20" ht="21" x14ac:dyDescent="0.4">
      <c r="B20" s="717"/>
      <c r="C20" s="703" t="s">
        <v>221</v>
      </c>
      <c r="D20" s="718"/>
      <c r="E20" s="718"/>
      <c r="F20" s="702" t="str">
        <f>E6</f>
        <v>Desconto</v>
      </c>
      <c r="G20" s="702"/>
      <c r="H20" s="719"/>
      <c r="P20" s="769"/>
      <c r="T20" s="709"/>
    </row>
    <row r="21" spans="1:20" ht="21" x14ac:dyDescent="0.4">
      <c r="B21" s="742" t="s">
        <v>13</v>
      </c>
      <c r="C21" s="1602">
        <f>C13</f>
        <v>82</v>
      </c>
      <c r="D21" s="1603"/>
      <c r="E21" s="1604" t="s">
        <v>3</v>
      </c>
      <c r="F21" s="1603">
        <f>C7</f>
        <v>100</v>
      </c>
      <c r="G21" s="1603"/>
      <c r="H21" s="1605"/>
      <c r="I21" s="2156"/>
      <c r="P21" s="769"/>
      <c r="T21" s="709"/>
    </row>
    <row r="22" spans="1:20" ht="21" x14ac:dyDescent="0.4">
      <c r="B22" s="724" t="s">
        <v>20</v>
      </c>
      <c r="C22" s="2157">
        <f>C14</f>
        <v>24000</v>
      </c>
      <c r="D22" s="2158"/>
      <c r="E22" s="1592"/>
      <c r="F22" s="2165" t="s">
        <v>222</v>
      </c>
      <c r="G22" s="2165"/>
      <c r="H22" s="1628"/>
      <c r="I22" s="1672"/>
      <c r="P22" s="769"/>
      <c r="T22" s="709"/>
    </row>
    <row r="23" spans="1:20" ht="21" x14ac:dyDescent="0.4"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P23" s="769"/>
      <c r="T23" s="709"/>
    </row>
    <row r="24" spans="1:20" ht="21" x14ac:dyDescent="0.4">
      <c r="B24" s="1586">
        <f>C21</f>
        <v>82</v>
      </c>
      <c r="C24" s="1587"/>
      <c r="D24" s="736" t="s">
        <v>22</v>
      </c>
      <c r="E24" s="737" t="str">
        <f>F22</f>
        <v>V</v>
      </c>
      <c r="F24" s="736" t="s">
        <v>3</v>
      </c>
      <c r="G24" s="736"/>
      <c r="H24" s="1588">
        <f>C22</f>
        <v>24000</v>
      </c>
      <c r="I24" s="1588"/>
      <c r="J24" s="1588"/>
      <c r="K24" s="738" t="s">
        <v>22</v>
      </c>
      <c r="L24" s="1635">
        <f>F21</f>
        <v>100</v>
      </c>
      <c r="M24" s="1635"/>
      <c r="N24" s="1636"/>
      <c r="P24" s="769"/>
      <c r="T24" s="709"/>
    </row>
    <row r="25" spans="1:20" ht="21" x14ac:dyDescent="0.4">
      <c r="B25" s="2159" t="str">
        <f>F22</f>
        <v>V</v>
      </c>
      <c r="C25" s="1591" t="s">
        <v>3</v>
      </c>
      <c r="D25" s="2160">
        <f>H24</f>
        <v>24000</v>
      </c>
      <c r="E25" s="2160"/>
      <c r="F25" s="1015" t="s">
        <v>22</v>
      </c>
      <c r="G25" s="735"/>
      <c r="H25" s="1012">
        <f>F21</f>
        <v>100</v>
      </c>
      <c r="I25" s="1596" t="s">
        <v>3</v>
      </c>
      <c r="J25" s="2161">
        <f>D25*H25/D26</f>
        <v>29268.292682926829</v>
      </c>
      <c r="K25" s="2161"/>
      <c r="L25" s="2162"/>
      <c r="M25" s="725"/>
      <c r="N25" s="725"/>
      <c r="P25" s="769"/>
      <c r="T25" s="709"/>
    </row>
    <row r="26" spans="1:20" ht="21" x14ac:dyDescent="0.4">
      <c r="B26" s="1590"/>
      <c r="C26" s="1592"/>
      <c r="D26" s="2015">
        <f>B24</f>
        <v>82</v>
      </c>
      <c r="E26" s="2015"/>
      <c r="F26" s="2015"/>
      <c r="G26" s="2015"/>
      <c r="H26" s="2015"/>
      <c r="I26" s="1597"/>
      <c r="J26" s="2163"/>
      <c r="K26" s="2163"/>
      <c r="L26" s="2164"/>
      <c r="M26" s="725"/>
      <c r="N26" s="725"/>
      <c r="P26" s="769"/>
      <c r="T26" s="709"/>
    </row>
    <row r="27" spans="1:20" ht="21" x14ac:dyDescent="0.4">
      <c r="B27" s="727"/>
      <c r="C27" s="729"/>
      <c r="D27" s="730"/>
      <c r="E27" s="727"/>
      <c r="F27" s="727"/>
      <c r="G27" s="727"/>
      <c r="H27" s="727"/>
      <c r="I27" s="732"/>
      <c r="J27" s="733"/>
      <c r="K27" s="733"/>
      <c r="L27" s="733"/>
      <c r="M27" s="713"/>
      <c r="P27" s="769"/>
      <c r="T27" s="709"/>
    </row>
    <row r="28" spans="1:20" ht="21" x14ac:dyDescent="0.4">
      <c r="B28" s="727" t="s">
        <v>229</v>
      </c>
      <c r="C28" s="727"/>
      <c r="D28" s="727"/>
      <c r="E28" s="727"/>
      <c r="F28" s="713"/>
      <c r="G28" s="713"/>
      <c r="H28" s="2166">
        <f>J17</f>
        <v>5268.292682926829</v>
      </c>
      <c r="I28" s="2167"/>
      <c r="J28" s="2168"/>
      <c r="K28" s="709" t="s">
        <v>230</v>
      </c>
      <c r="L28" s="713"/>
      <c r="M28" s="713"/>
      <c r="P28" s="769"/>
      <c r="T28" s="709"/>
    </row>
    <row r="29" spans="1:20" ht="21" x14ac:dyDescent="0.4">
      <c r="B29" s="713" t="s">
        <v>231</v>
      </c>
      <c r="D29" s="713"/>
      <c r="E29" s="713"/>
      <c r="F29" s="713"/>
      <c r="H29" s="2166">
        <f>J25</f>
        <v>29268.292682926829</v>
      </c>
      <c r="I29" s="2167"/>
      <c r="J29" s="2168"/>
      <c r="K29" s="727"/>
      <c r="L29" s="727"/>
      <c r="M29" s="713"/>
      <c r="P29" s="769"/>
      <c r="T29" s="709"/>
    </row>
    <row r="30" spans="1:20" ht="21" x14ac:dyDescent="0.4">
      <c r="B30" s="713"/>
      <c r="D30" s="713"/>
      <c r="E30" s="713" t="s">
        <v>221</v>
      </c>
      <c r="F30" s="713"/>
      <c r="G30" s="713"/>
      <c r="H30" s="2169">
        <f>H29-H28</f>
        <v>24000</v>
      </c>
      <c r="I30" s="2169"/>
      <c r="J30" s="2169"/>
      <c r="K30" s="2169"/>
      <c r="L30" s="713"/>
      <c r="M30" s="713"/>
      <c r="P30" s="769"/>
      <c r="T30" s="709"/>
    </row>
    <row r="31" spans="1:20" ht="21" x14ac:dyDescent="0.4">
      <c r="B31" s="768"/>
      <c r="C31" s="768"/>
      <c r="D31" s="768"/>
      <c r="E31" s="768"/>
      <c r="F31" s="768"/>
      <c r="G31" s="768"/>
      <c r="H31" s="768"/>
      <c r="I31" s="768"/>
      <c r="J31" s="768"/>
      <c r="K31" s="768"/>
      <c r="L31" s="768"/>
      <c r="M31" s="768"/>
      <c r="N31" s="768"/>
      <c r="O31" s="768"/>
      <c r="P31" s="769"/>
      <c r="T31" s="709"/>
    </row>
    <row r="32" spans="1:20" ht="21" x14ac:dyDescent="0.4">
      <c r="B32" s="713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T32" s="709"/>
    </row>
    <row r="33" ht="21" x14ac:dyDescent="0.4"/>
    <row r="34" ht="21" x14ac:dyDescent="0.4"/>
    <row r="35" ht="21" x14ac:dyDescent="0.4"/>
    <row r="36" ht="21" x14ac:dyDescent="0.4"/>
    <row r="37" ht="21" x14ac:dyDescent="0.4"/>
    <row r="38" ht="21" x14ac:dyDescent="0.4"/>
    <row r="39" ht="21" x14ac:dyDescent="0.4"/>
    <row r="40" ht="21" x14ac:dyDescent="0.4"/>
    <row r="41" ht="21" x14ac:dyDescent="0.4"/>
    <row r="42" ht="21" x14ac:dyDescent="0.4"/>
    <row r="43" ht="21" x14ac:dyDescent="0.4"/>
    <row r="44" ht="21" x14ac:dyDescent="0.4"/>
    <row r="45" ht="21" x14ac:dyDescent="0.4"/>
    <row r="46" ht="21" x14ac:dyDescent="0.4"/>
    <row r="47" ht="21" x14ac:dyDescent="0.4"/>
    <row r="48" ht="21" x14ac:dyDescent="0.4"/>
    <row r="49" ht="21" x14ac:dyDescent="0.4"/>
    <row r="50" ht="21" x14ac:dyDescent="0.4"/>
    <row r="51" ht="21" x14ac:dyDescent="0.4"/>
    <row r="52" ht="21" x14ac:dyDescent="0.4"/>
    <row r="53" ht="21" x14ac:dyDescent="0.4"/>
    <row r="54" ht="21" x14ac:dyDescent="0.4"/>
    <row r="55" ht="21" x14ac:dyDescent="0.4"/>
    <row r="56" ht="21" x14ac:dyDescent="0.4"/>
    <row r="57" ht="21" x14ac:dyDescent="0.4"/>
    <row r="58" ht="21" x14ac:dyDescent="0.4"/>
    <row r="59" ht="21" x14ac:dyDescent="0.4"/>
    <row r="60" ht="21" x14ac:dyDescent="0.4"/>
    <row r="61" ht="21" x14ac:dyDescent="0.4"/>
    <row r="62" ht="21" x14ac:dyDescent="0.4"/>
    <row r="63" ht="21" x14ac:dyDescent="0.4"/>
    <row r="64" ht="21" x14ac:dyDescent="0.4"/>
    <row r="65" ht="21" x14ac:dyDescent="0.4"/>
    <row r="66" ht="21" x14ac:dyDescent="0.4"/>
    <row r="67" ht="21" x14ac:dyDescent="0.4"/>
    <row r="68" ht="21" x14ac:dyDescent="0.4"/>
    <row r="69" ht="21" x14ac:dyDescent="0.4"/>
    <row r="70" ht="21" x14ac:dyDescent="0.4"/>
    <row r="71" ht="21" x14ac:dyDescent="0.4"/>
    <row r="72" ht="21" x14ac:dyDescent="0.4"/>
    <row r="73" ht="21" x14ac:dyDescent="0.4"/>
    <row r="74" ht="21" x14ac:dyDescent="0.4"/>
    <row r="75" ht="21" x14ac:dyDescent="0.4"/>
    <row r="76" ht="21" x14ac:dyDescent="0.4"/>
    <row r="77" ht="21" x14ac:dyDescent="0.4"/>
    <row r="78" ht="21" x14ac:dyDescent="0.4"/>
    <row r="79" ht="21" x14ac:dyDescent="0.4"/>
    <row r="80" ht="21" x14ac:dyDescent="0.4"/>
    <row r="81" ht="21" x14ac:dyDescent="0.4"/>
    <row r="82" ht="21" x14ac:dyDescent="0.4"/>
    <row r="83" ht="21" x14ac:dyDescent="0.4"/>
    <row r="84" ht="21" x14ac:dyDescent="0.4"/>
    <row r="85" ht="21" x14ac:dyDescent="0.4"/>
    <row r="86" ht="21" x14ac:dyDescent="0.4"/>
    <row r="87" ht="21" x14ac:dyDescent="0.4"/>
    <row r="88" ht="21" x14ac:dyDescent="0.4"/>
    <row r="89" ht="21" x14ac:dyDescent="0.4"/>
    <row r="90" ht="21" x14ac:dyDescent="0.4"/>
    <row r="91" ht="21" x14ac:dyDescent="0.4"/>
    <row r="92" ht="21" x14ac:dyDescent="0.4"/>
    <row r="93" ht="21" x14ac:dyDescent="0.4"/>
    <row r="94" ht="21" x14ac:dyDescent="0.4"/>
    <row r="95" ht="21" x14ac:dyDescent="0.4"/>
    <row r="96" ht="21" x14ac:dyDescent="0.4"/>
    <row r="97" ht="21" x14ac:dyDescent="0.4"/>
    <row r="98" ht="21" x14ac:dyDescent="0.4"/>
    <row r="99" ht="21" x14ac:dyDescent="0.4"/>
    <row r="100" ht="21" x14ac:dyDescent="0.4"/>
    <row r="101" ht="21" x14ac:dyDescent="0.4"/>
    <row r="102" ht="21" x14ac:dyDescent="0.4"/>
    <row r="103" ht="21" x14ac:dyDescent="0.4"/>
    <row r="104" ht="21" x14ac:dyDescent="0.4"/>
    <row r="105" ht="21" x14ac:dyDescent="0.4"/>
    <row r="106" ht="21" x14ac:dyDescent="0.4"/>
    <row r="107" ht="21" x14ac:dyDescent="0.4"/>
    <row r="108" ht="21" x14ac:dyDescent="0.4"/>
    <row r="109" ht="21" x14ac:dyDescent="0.4"/>
    <row r="110" ht="21" x14ac:dyDescent="0.4"/>
    <row r="111" ht="21" x14ac:dyDescent="0.4"/>
    <row r="112" ht="21" x14ac:dyDescent="0.4"/>
    <row r="113" ht="21" x14ac:dyDescent="0.4"/>
    <row r="114" ht="21" x14ac:dyDescent="0.4"/>
    <row r="115" ht="21" x14ac:dyDescent="0.4"/>
    <row r="116" ht="21" x14ac:dyDescent="0.4"/>
    <row r="117" ht="21" x14ac:dyDescent="0.4"/>
    <row r="118" ht="21" x14ac:dyDescent="0.4"/>
    <row r="119" ht="21" x14ac:dyDescent="0.4"/>
    <row r="120" ht="21" x14ac:dyDescent="0.4"/>
    <row r="121" ht="21" x14ac:dyDescent="0.4"/>
    <row r="122" ht="21" x14ac:dyDescent="0.4"/>
    <row r="123" ht="21" x14ac:dyDescent="0.4"/>
    <row r="124" ht="21" x14ac:dyDescent="0.4"/>
    <row r="125" ht="21" x14ac:dyDescent="0.4"/>
    <row r="126" ht="21" x14ac:dyDescent="0.4"/>
    <row r="127" ht="21" x14ac:dyDescent="0.4"/>
    <row r="128" ht="21" x14ac:dyDescent="0.4"/>
    <row r="129" ht="21" x14ac:dyDescent="0.4"/>
    <row r="130" ht="21" x14ac:dyDescent="0.4"/>
    <row r="131" ht="21" x14ac:dyDescent="0.4"/>
    <row r="132" ht="21" x14ac:dyDescent="0.4"/>
    <row r="133" ht="21" x14ac:dyDescent="0.4"/>
    <row r="134" ht="21" x14ac:dyDescent="0.4"/>
    <row r="135" ht="21" x14ac:dyDescent="0.4"/>
    <row r="136" ht="21" x14ac:dyDescent="0.4"/>
    <row r="137" ht="21" x14ac:dyDescent="0.4"/>
    <row r="138" ht="21" x14ac:dyDescent="0.4"/>
    <row r="139" ht="21" x14ac:dyDescent="0.4"/>
    <row r="140" ht="21" x14ac:dyDescent="0.4"/>
    <row r="141" ht="21" x14ac:dyDescent="0.4"/>
    <row r="142" ht="21" x14ac:dyDescent="0.4"/>
    <row r="143" ht="21" x14ac:dyDescent="0.4"/>
    <row r="144" ht="21" x14ac:dyDescent="0.4"/>
    <row r="145" ht="21" x14ac:dyDescent="0.4"/>
    <row r="146" ht="21" x14ac:dyDescent="0.4"/>
    <row r="147" ht="21" x14ac:dyDescent="0.4"/>
    <row r="148" ht="21" x14ac:dyDescent="0.4"/>
    <row r="149" ht="21" x14ac:dyDescent="0.4"/>
    <row r="150" ht="21" x14ac:dyDescent="0.4"/>
    <row r="151" ht="21" x14ac:dyDescent="0.4"/>
    <row r="152" ht="21" x14ac:dyDescent="0.4"/>
    <row r="153" ht="21" x14ac:dyDescent="0.4"/>
    <row r="154" ht="21" x14ac:dyDescent="0.4"/>
    <row r="155" ht="21" x14ac:dyDescent="0.4"/>
    <row r="156" ht="21" x14ac:dyDescent="0.4"/>
    <row r="157" ht="21" x14ac:dyDescent="0.4"/>
    <row r="158" ht="21" x14ac:dyDescent="0.4"/>
    <row r="159" ht="21" x14ac:dyDescent="0.4"/>
    <row r="160" ht="21" x14ac:dyDescent="0.4"/>
    <row r="161" ht="21" x14ac:dyDescent="0.4"/>
    <row r="162" ht="21" x14ac:dyDescent="0.4"/>
    <row r="163" ht="21" x14ac:dyDescent="0.4"/>
    <row r="164" ht="21" x14ac:dyDescent="0.4"/>
    <row r="165" ht="21" x14ac:dyDescent="0.4"/>
    <row r="166" ht="21" x14ac:dyDescent="0.4"/>
    <row r="167" ht="21" x14ac:dyDescent="0.4"/>
    <row r="168" ht="21" x14ac:dyDescent="0.4"/>
    <row r="169" ht="21" x14ac:dyDescent="0.4"/>
    <row r="170" ht="21" x14ac:dyDescent="0.4"/>
    <row r="171" ht="21" x14ac:dyDescent="0.4"/>
    <row r="172" ht="21" x14ac:dyDescent="0.4"/>
    <row r="173" ht="21" x14ac:dyDescent="0.4"/>
    <row r="174" ht="21" x14ac:dyDescent="0.4"/>
    <row r="175" ht="21" x14ac:dyDescent="0.4"/>
    <row r="176" ht="21" x14ac:dyDescent="0.4"/>
  </sheetData>
  <mergeCells count="46">
    <mergeCell ref="H28:J28"/>
    <mergeCell ref="H29:J29"/>
    <mergeCell ref="H30:K30"/>
    <mergeCell ref="B24:C24"/>
    <mergeCell ref="H24:J24"/>
    <mergeCell ref="L24:N24"/>
    <mergeCell ref="B25:B26"/>
    <mergeCell ref="C25:C26"/>
    <mergeCell ref="D25:E25"/>
    <mergeCell ref="I25:I26"/>
    <mergeCell ref="J25:L26"/>
    <mergeCell ref="D26:H26"/>
    <mergeCell ref="C21:D21"/>
    <mergeCell ref="E21:E22"/>
    <mergeCell ref="F21:H21"/>
    <mergeCell ref="I21:I22"/>
    <mergeCell ref="C22:D22"/>
    <mergeCell ref="F22:H22"/>
    <mergeCell ref="B16:C16"/>
    <mergeCell ref="H16:J16"/>
    <mergeCell ref="L16:N16"/>
    <mergeCell ref="B17:B18"/>
    <mergeCell ref="C17:C18"/>
    <mergeCell ref="D17:E17"/>
    <mergeCell ref="I17:I18"/>
    <mergeCell ref="J17:L18"/>
    <mergeCell ref="D18:H18"/>
    <mergeCell ref="C13:D13"/>
    <mergeCell ref="E13:E14"/>
    <mergeCell ref="F13:H13"/>
    <mergeCell ref="I13:I14"/>
    <mergeCell ref="C14:D14"/>
    <mergeCell ref="F14:H14"/>
    <mergeCell ref="E10:E11"/>
    <mergeCell ref="F10:H10"/>
    <mergeCell ref="I10:I11"/>
    <mergeCell ref="J10:L10"/>
    <mergeCell ref="F11:H11"/>
    <mergeCell ref="J11:L11"/>
    <mergeCell ref="C7:D7"/>
    <mergeCell ref="E7:H7"/>
    <mergeCell ref="I7:L7"/>
    <mergeCell ref="N7:O8"/>
    <mergeCell ref="C8:D8"/>
    <mergeCell ref="E8:H8"/>
    <mergeCell ref="I8:L8"/>
  </mergeCells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/>
  <dimension ref="A1"/>
  <sheetViews>
    <sheetView workbookViewId="0">
      <selection activeCell="E21" sqref="E20:M22"/>
    </sheetView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/>
  <dimension ref="A1:T176"/>
  <sheetViews>
    <sheetView workbookViewId="0">
      <selection sqref="A1:XFD1048576"/>
    </sheetView>
  </sheetViews>
  <sheetFormatPr defaultColWidth="28.09765625" defaultRowHeight="16.5" customHeight="1" x14ac:dyDescent="0.4"/>
  <cols>
    <col min="1" max="1" width="2.69921875" style="768" customWidth="1"/>
    <col min="2" max="2" width="4.3984375" style="709" customWidth="1"/>
    <col min="3" max="3" width="7.5" style="713" customWidth="1"/>
    <col min="4" max="4" width="8.3984375" style="709" customWidth="1"/>
    <col min="5" max="5" width="5.8984375" style="709" customWidth="1"/>
    <col min="6" max="7" width="3.69921875" style="709" customWidth="1"/>
    <col min="8" max="8" width="6.19921875" style="709" customWidth="1"/>
    <col min="9" max="9" width="4.3984375" style="709" customWidth="1"/>
    <col min="10" max="10" width="5.3984375" style="709" customWidth="1"/>
    <col min="11" max="11" width="3.69921875" style="709" customWidth="1"/>
    <col min="12" max="12" width="3.8984375" style="709" customWidth="1"/>
    <col min="13" max="13" width="6.3984375" style="709" customWidth="1"/>
    <col min="14" max="14" width="11.8984375" style="709" customWidth="1"/>
    <col min="15" max="15" width="15.19921875" style="709" customWidth="1"/>
    <col min="16" max="16" width="1.8984375" style="709" bestFit="1" customWidth="1"/>
    <col min="17" max="17" width="3.19921875" style="709" customWidth="1"/>
    <col min="18" max="18" width="5.19921875" style="709" customWidth="1"/>
    <col min="19" max="19" width="10.59765625" style="709" customWidth="1"/>
    <col min="20" max="20" width="10.59765625" customWidth="1"/>
    <col min="21" max="30" width="10.59765625" style="709" customWidth="1"/>
    <col min="31" max="16384" width="28.09765625" style="709"/>
  </cols>
  <sheetData>
    <row r="1" spans="1:19" s="709" customFormat="1" ht="18.75" customHeight="1" x14ac:dyDescent="0.4">
      <c r="A1" s="768" t="str">
        <f>Inicio!J6</f>
        <v>Estudante</v>
      </c>
      <c r="B1" s="768"/>
      <c r="C1" s="769"/>
      <c r="D1" s="768" t="s">
        <v>256</v>
      </c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</row>
    <row r="2" spans="1:19" s="709" customFormat="1" ht="21" customHeight="1" x14ac:dyDescent="0.4">
      <c r="A2" s="768"/>
      <c r="B2" s="710" t="s">
        <v>235</v>
      </c>
      <c r="D2" s="711"/>
      <c r="E2" s="711"/>
      <c r="H2" s="712">
        <v>15</v>
      </c>
      <c r="I2" s="709" t="s">
        <v>219</v>
      </c>
      <c r="O2" s="740">
        <v>28000</v>
      </c>
      <c r="P2" s="709" t="s">
        <v>42</v>
      </c>
      <c r="Q2" s="769"/>
    </row>
    <row r="3" spans="1:19" s="709" customFormat="1" ht="16.5" customHeight="1" x14ac:dyDescent="0.4">
      <c r="A3" s="768"/>
      <c r="B3" s="710" t="s">
        <v>227</v>
      </c>
      <c r="Q3" s="769"/>
    </row>
    <row r="4" spans="1:19" s="709" customFormat="1" ht="16.5" customHeight="1" x14ac:dyDescent="0.4">
      <c r="A4" s="768"/>
      <c r="B4" s="710" t="s">
        <v>228</v>
      </c>
      <c r="Q4" s="769"/>
    </row>
    <row r="5" spans="1:19" s="709" customFormat="1" ht="7.5" customHeight="1" x14ac:dyDescent="0.4">
      <c r="A5" s="768"/>
      <c r="C5" s="713"/>
      <c r="Q5" s="769"/>
    </row>
    <row r="6" spans="1:19" s="709" customFormat="1" ht="16.5" customHeight="1" thickBot="1" x14ac:dyDescent="0.45">
      <c r="A6" s="768"/>
      <c r="B6" s="713"/>
      <c r="C6" s="714" t="s">
        <v>225</v>
      </c>
      <c r="D6" s="715"/>
      <c r="E6" s="748" t="s">
        <v>237</v>
      </c>
      <c r="F6" s="749"/>
      <c r="G6" s="749"/>
      <c r="H6" s="715"/>
      <c r="I6" s="746" t="s">
        <v>221</v>
      </c>
      <c r="J6" s="747"/>
      <c r="K6" s="747"/>
      <c r="L6" s="719"/>
      <c r="Q6" s="769"/>
    </row>
    <row r="7" spans="1:19" s="709" customFormat="1" ht="16.5" customHeight="1" x14ac:dyDescent="0.4">
      <c r="A7" s="768"/>
      <c r="B7" s="741" t="s">
        <v>13</v>
      </c>
      <c r="C7" s="1622">
        <v>100</v>
      </c>
      <c r="D7" s="2142"/>
      <c r="E7" s="2143">
        <f>H2</f>
        <v>15</v>
      </c>
      <c r="F7" s="2144"/>
      <c r="G7" s="2144"/>
      <c r="H7" s="2144"/>
      <c r="I7" s="1624">
        <f>C7+E7</f>
        <v>115</v>
      </c>
      <c r="J7" s="1625"/>
      <c r="K7" s="1625"/>
      <c r="L7" s="1626"/>
      <c r="N7" s="1659" t="s">
        <v>224</v>
      </c>
      <c r="O7" s="1659"/>
      <c r="Q7" s="769"/>
    </row>
    <row r="8" spans="1:19" s="709" customFormat="1" ht="16.5" customHeight="1" thickBot="1" x14ac:dyDescent="0.45">
      <c r="A8" s="768"/>
      <c r="B8" s="720" t="s">
        <v>20</v>
      </c>
      <c r="C8" s="2145" t="s">
        <v>222</v>
      </c>
      <c r="D8" s="2145"/>
      <c r="E8" s="2146" t="s">
        <v>223</v>
      </c>
      <c r="F8" s="2146"/>
      <c r="G8" s="2146"/>
      <c r="H8" s="2147"/>
      <c r="I8" s="2170">
        <f>O2</f>
        <v>28000</v>
      </c>
      <c r="J8" s="2171"/>
      <c r="K8" s="2172"/>
      <c r="L8" s="2173"/>
      <c r="N8" s="1659"/>
      <c r="O8" s="1659"/>
      <c r="Q8" s="769"/>
    </row>
    <row r="9" spans="1:19" s="709" customFormat="1" ht="16.5" customHeight="1" x14ac:dyDescent="0.4">
      <c r="A9" s="768"/>
      <c r="Q9" s="769"/>
    </row>
    <row r="10" spans="1:19" s="709" customFormat="1" ht="17.25" customHeight="1" x14ac:dyDescent="0.4">
      <c r="A10" s="768"/>
      <c r="B10" s="713"/>
      <c r="C10" s="713"/>
      <c r="D10" s="721">
        <f>C7</f>
        <v>100</v>
      </c>
      <c r="E10" s="1604" t="s">
        <v>3</v>
      </c>
      <c r="F10" s="2152">
        <f>E7</f>
        <v>15</v>
      </c>
      <c r="G10" s="2152"/>
      <c r="H10" s="2152"/>
      <c r="I10" s="1604" t="s">
        <v>3</v>
      </c>
      <c r="J10" s="1603">
        <f>I7</f>
        <v>115</v>
      </c>
      <c r="K10" s="1603"/>
      <c r="L10" s="1603"/>
      <c r="M10" s="722"/>
      <c r="N10" s="722"/>
      <c r="O10" s="722"/>
      <c r="Q10" s="769"/>
    </row>
    <row r="11" spans="1:19" s="709" customFormat="1" ht="17.25" customHeight="1" x14ac:dyDescent="0.4">
      <c r="A11" s="768"/>
      <c r="B11" s="713"/>
      <c r="C11" s="713"/>
      <c r="D11" s="723" t="str">
        <f>C8</f>
        <v>V</v>
      </c>
      <c r="E11" s="1604"/>
      <c r="F11" s="2153" t="str">
        <f>E8</f>
        <v>A</v>
      </c>
      <c r="G11" s="2153"/>
      <c r="H11" s="2153"/>
      <c r="I11" s="1604"/>
      <c r="J11" s="2174">
        <f>I8</f>
        <v>28000</v>
      </c>
      <c r="K11" s="2174"/>
      <c r="L11" s="2174"/>
      <c r="M11" s="722"/>
      <c r="N11" s="708"/>
      <c r="O11" s="708"/>
      <c r="Q11" s="769"/>
    </row>
    <row r="12" spans="1:19" s="709" customFormat="1" ht="18" customHeight="1" x14ac:dyDescent="0.4">
      <c r="A12" s="768"/>
      <c r="B12" s="717"/>
      <c r="C12" s="703" t="s">
        <v>221</v>
      </c>
      <c r="D12" s="718"/>
      <c r="E12" s="718"/>
      <c r="F12" s="702" t="s">
        <v>220</v>
      </c>
      <c r="G12" s="702"/>
      <c r="H12" s="719"/>
      <c r="O12" s="713"/>
      <c r="P12" s="713"/>
      <c r="Q12" s="769"/>
    </row>
    <row r="13" spans="1:19" s="709" customFormat="1" ht="15.75" customHeight="1" x14ac:dyDescent="0.4">
      <c r="A13" s="768"/>
      <c r="B13" s="742" t="s">
        <v>13</v>
      </c>
      <c r="C13" s="1602">
        <f>I7</f>
        <v>115</v>
      </c>
      <c r="D13" s="1603"/>
      <c r="E13" s="1604" t="s">
        <v>3</v>
      </c>
      <c r="F13" s="2152">
        <f>F10</f>
        <v>15</v>
      </c>
      <c r="G13" s="2152"/>
      <c r="H13" s="2155"/>
      <c r="I13" s="2156"/>
      <c r="Q13" s="769"/>
    </row>
    <row r="14" spans="1:19" s="709" customFormat="1" ht="17.25" customHeight="1" x14ac:dyDescent="0.4">
      <c r="A14" s="768"/>
      <c r="B14" s="724" t="s">
        <v>20</v>
      </c>
      <c r="C14" s="2175">
        <f>J11</f>
        <v>28000</v>
      </c>
      <c r="D14" s="2176"/>
      <c r="E14" s="1592"/>
      <c r="F14" s="1610" t="str">
        <f>F11</f>
        <v>A</v>
      </c>
      <c r="G14" s="1610"/>
      <c r="H14" s="1611"/>
      <c r="I14" s="1672"/>
      <c r="Q14" s="769"/>
      <c r="S14" s="734"/>
    </row>
    <row r="15" spans="1:19" s="725" customFormat="1" ht="14.25" customHeight="1" x14ac:dyDescent="0.4">
      <c r="A15" s="768"/>
      <c r="Q15" s="769"/>
    </row>
    <row r="16" spans="1:19" s="725" customFormat="1" ht="16.5" customHeight="1" x14ac:dyDescent="0.4">
      <c r="A16" s="768"/>
      <c r="B16" s="1586">
        <f>C13</f>
        <v>115</v>
      </c>
      <c r="C16" s="1587"/>
      <c r="D16" s="736" t="s">
        <v>22</v>
      </c>
      <c r="E16" s="737" t="str">
        <f>F14</f>
        <v>A</v>
      </c>
      <c r="F16" s="736" t="s">
        <v>3</v>
      </c>
      <c r="G16" s="736"/>
      <c r="H16" s="1588">
        <f>C14</f>
        <v>28000</v>
      </c>
      <c r="I16" s="1588"/>
      <c r="J16" s="1588"/>
      <c r="K16" s="738" t="s">
        <v>22</v>
      </c>
      <c r="L16" s="1635">
        <f>F13</f>
        <v>15</v>
      </c>
      <c r="M16" s="1635"/>
      <c r="N16" s="1636"/>
      <c r="Q16" s="769"/>
    </row>
    <row r="17" spans="1:20" s="725" customFormat="1" ht="28.5" customHeight="1" x14ac:dyDescent="0.4">
      <c r="A17" s="768"/>
      <c r="B17" s="2159" t="str">
        <f>F14</f>
        <v>A</v>
      </c>
      <c r="C17" s="1591" t="s">
        <v>3</v>
      </c>
      <c r="D17" s="1681">
        <f>H16</f>
        <v>28000</v>
      </c>
      <c r="E17" s="1681"/>
      <c r="F17" s="739" t="s">
        <v>22</v>
      </c>
      <c r="G17" s="735"/>
      <c r="H17" s="744">
        <f>F13</f>
        <v>15</v>
      </c>
      <c r="I17" s="1596" t="s">
        <v>3</v>
      </c>
      <c r="J17" s="2161">
        <f>D17*H17/D18</f>
        <v>3652.1739130434785</v>
      </c>
      <c r="K17" s="2161"/>
      <c r="L17" s="2162"/>
      <c r="Q17" s="769"/>
    </row>
    <row r="18" spans="1:20" s="725" customFormat="1" ht="16.5" customHeight="1" x14ac:dyDescent="0.4">
      <c r="A18" s="768"/>
      <c r="B18" s="1590"/>
      <c r="C18" s="1592"/>
      <c r="D18" s="1603">
        <f>B16</f>
        <v>115</v>
      </c>
      <c r="E18" s="1603"/>
      <c r="F18" s="1603"/>
      <c r="G18" s="1603"/>
      <c r="H18" s="1603"/>
      <c r="I18" s="1597"/>
      <c r="J18" s="2163"/>
      <c r="K18" s="2163"/>
      <c r="L18" s="2164"/>
      <c r="Q18" s="769"/>
    </row>
    <row r="19" spans="1:20" ht="16.5" customHeight="1" x14ac:dyDescent="0.4">
      <c r="B19" s="727"/>
      <c r="C19" s="727"/>
      <c r="D19" s="727"/>
      <c r="E19" s="727"/>
      <c r="F19" s="713"/>
      <c r="G19" s="713"/>
      <c r="H19" s="713"/>
      <c r="I19" s="713"/>
      <c r="J19" s="713"/>
      <c r="K19" s="713"/>
      <c r="L19" s="713"/>
      <c r="M19" s="713"/>
      <c r="Q19" s="769"/>
      <c r="T19" s="709"/>
    </row>
    <row r="20" spans="1:20" ht="16.5" customHeight="1" x14ac:dyDescent="0.4">
      <c r="B20" s="717"/>
      <c r="C20" s="703" t="s">
        <v>221</v>
      </c>
      <c r="D20" s="718"/>
      <c r="E20" s="718"/>
      <c r="F20" s="745" t="s">
        <v>236</v>
      </c>
      <c r="G20" s="702"/>
      <c r="H20" s="719"/>
      <c r="Q20" s="769"/>
      <c r="T20" s="709"/>
    </row>
    <row r="21" spans="1:20" ht="16.5" customHeight="1" x14ac:dyDescent="0.4">
      <c r="B21" s="742" t="s">
        <v>13</v>
      </c>
      <c r="C21" s="1602">
        <f>C13</f>
        <v>115</v>
      </c>
      <c r="D21" s="1603"/>
      <c r="E21" s="1604" t="s">
        <v>3</v>
      </c>
      <c r="F21" s="1603">
        <f>C7</f>
        <v>100</v>
      </c>
      <c r="G21" s="1603"/>
      <c r="H21" s="1605"/>
      <c r="I21" s="2156"/>
      <c r="Q21" s="769"/>
      <c r="T21" s="709"/>
    </row>
    <row r="22" spans="1:20" ht="16.5" customHeight="1" x14ac:dyDescent="0.4">
      <c r="B22" s="724" t="s">
        <v>20</v>
      </c>
      <c r="C22" s="2157">
        <f>C14</f>
        <v>28000</v>
      </c>
      <c r="D22" s="2158"/>
      <c r="E22" s="1592"/>
      <c r="F22" s="2165" t="s">
        <v>222</v>
      </c>
      <c r="G22" s="2165"/>
      <c r="H22" s="1628"/>
      <c r="I22" s="1672"/>
      <c r="Q22" s="769"/>
      <c r="T22" s="709"/>
    </row>
    <row r="23" spans="1:20" ht="16.5" customHeight="1" x14ac:dyDescent="0.4">
      <c r="B23" s="725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Q23" s="769"/>
      <c r="T23" s="709"/>
    </row>
    <row r="24" spans="1:20" ht="16.5" customHeight="1" x14ac:dyDescent="0.4">
      <c r="B24" s="1586">
        <f>C21</f>
        <v>115</v>
      </c>
      <c r="C24" s="1587"/>
      <c r="D24" s="736" t="s">
        <v>22</v>
      </c>
      <c r="E24" s="737" t="str">
        <f>F22</f>
        <v>V</v>
      </c>
      <c r="F24" s="736" t="s">
        <v>3</v>
      </c>
      <c r="G24" s="736"/>
      <c r="H24" s="1588">
        <f>C22</f>
        <v>28000</v>
      </c>
      <c r="I24" s="1588"/>
      <c r="J24" s="1588"/>
      <c r="K24" s="738" t="s">
        <v>22</v>
      </c>
      <c r="L24" s="1635">
        <f>F21</f>
        <v>100</v>
      </c>
      <c r="M24" s="1635"/>
      <c r="N24" s="1636"/>
      <c r="Q24" s="769"/>
      <c r="T24" s="709"/>
    </row>
    <row r="25" spans="1:20" ht="16.5" customHeight="1" x14ac:dyDescent="0.4">
      <c r="B25" s="2159" t="str">
        <f>F22</f>
        <v>V</v>
      </c>
      <c r="C25" s="1591" t="s">
        <v>3</v>
      </c>
      <c r="D25" s="1681">
        <f>H24</f>
        <v>28000</v>
      </c>
      <c r="E25" s="1681"/>
      <c r="F25" s="739" t="s">
        <v>22</v>
      </c>
      <c r="G25" s="735"/>
      <c r="H25" s="744">
        <f>F21</f>
        <v>100</v>
      </c>
      <c r="I25" s="1596" t="s">
        <v>3</v>
      </c>
      <c r="J25" s="2161">
        <f>D25*H25/D26</f>
        <v>24347.82608695652</v>
      </c>
      <c r="K25" s="2161"/>
      <c r="L25" s="2162"/>
      <c r="M25" s="725"/>
      <c r="N25" s="725"/>
      <c r="Q25" s="769"/>
      <c r="T25" s="709"/>
    </row>
    <row r="26" spans="1:20" ht="16.5" customHeight="1" x14ac:dyDescent="0.4">
      <c r="B26" s="1590"/>
      <c r="C26" s="1592"/>
      <c r="D26" s="1603">
        <f>B24</f>
        <v>115</v>
      </c>
      <c r="E26" s="1603"/>
      <c r="F26" s="1603"/>
      <c r="G26" s="1603"/>
      <c r="H26" s="1603"/>
      <c r="I26" s="1597"/>
      <c r="J26" s="2163"/>
      <c r="K26" s="2163"/>
      <c r="L26" s="2164"/>
      <c r="M26" s="725"/>
      <c r="N26" s="725"/>
      <c r="Q26" s="769"/>
      <c r="T26" s="709"/>
    </row>
    <row r="27" spans="1:20" ht="16.5" customHeight="1" x14ac:dyDescent="0.4">
      <c r="B27" s="727"/>
      <c r="C27" s="729"/>
      <c r="D27" s="730"/>
      <c r="E27" s="727"/>
      <c r="F27" s="727"/>
      <c r="G27" s="727"/>
      <c r="H27" s="727"/>
      <c r="I27" s="732"/>
      <c r="J27" s="733"/>
      <c r="K27" s="733"/>
      <c r="L27" s="733"/>
      <c r="M27" s="713"/>
      <c r="Q27" s="769"/>
      <c r="T27" s="709"/>
    </row>
    <row r="28" spans="1:20" ht="16.5" customHeight="1" x14ac:dyDescent="0.4">
      <c r="B28" s="727" t="s">
        <v>229</v>
      </c>
      <c r="C28" s="727"/>
      <c r="D28" s="727"/>
      <c r="E28" s="727"/>
      <c r="F28" s="713"/>
      <c r="G28" s="713"/>
      <c r="H28" s="2166">
        <f>J17</f>
        <v>3652.1739130434785</v>
      </c>
      <c r="I28" s="2167"/>
      <c r="J28" s="2168"/>
      <c r="K28" s="709" t="s">
        <v>230</v>
      </c>
      <c r="L28" s="713"/>
      <c r="M28" s="713"/>
      <c r="Q28" s="769"/>
      <c r="T28" s="709"/>
    </row>
    <row r="29" spans="1:20" ht="16.5" customHeight="1" x14ac:dyDescent="0.4">
      <c r="B29" s="713" t="s">
        <v>231</v>
      </c>
      <c r="D29" s="713"/>
      <c r="E29" s="713"/>
      <c r="F29" s="713"/>
      <c r="H29" s="2166">
        <f>J25</f>
        <v>24347.82608695652</v>
      </c>
      <c r="I29" s="2167"/>
      <c r="J29" s="2168"/>
      <c r="K29" s="727"/>
      <c r="L29" s="727"/>
      <c r="M29" s="713"/>
      <c r="Q29" s="769"/>
      <c r="T29" s="709"/>
    </row>
    <row r="30" spans="1:20" ht="16.5" customHeight="1" x14ac:dyDescent="0.4">
      <c r="B30" s="713"/>
      <c r="D30" s="713"/>
      <c r="E30" s="713" t="s">
        <v>221</v>
      </c>
      <c r="F30" s="713"/>
      <c r="G30" s="713"/>
      <c r="H30" s="2169">
        <f>H28+H29</f>
        <v>28000</v>
      </c>
      <c r="I30" s="2010"/>
      <c r="J30" s="2010"/>
      <c r="K30" s="2010"/>
      <c r="L30" s="2010"/>
      <c r="M30" s="713"/>
      <c r="Q30" s="769"/>
      <c r="T30" s="709"/>
    </row>
    <row r="31" spans="1:20" ht="16.5" customHeight="1" x14ac:dyDescent="0.4">
      <c r="B31" s="713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Q31" s="769"/>
      <c r="T31" s="709"/>
    </row>
    <row r="32" spans="1:20" ht="16.5" customHeight="1" x14ac:dyDescent="0.4"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9"/>
      <c r="T32" s="709"/>
    </row>
    <row r="33" spans="1:20" ht="16.5" customHeight="1" x14ac:dyDescent="0.4">
      <c r="A33" s="770"/>
      <c r="T33" s="1"/>
    </row>
    <row r="34" spans="1:20" ht="16.5" customHeight="1" x14ac:dyDescent="0.4">
      <c r="A34" s="770"/>
      <c r="T34" s="1"/>
    </row>
    <row r="35" spans="1:20" ht="16.5" customHeight="1" x14ac:dyDescent="0.4">
      <c r="A35" s="770"/>
      <c r="T35" s="1"/>
    </row>
    <row r="36" spans="1:20" ht="16.5" customHeight="1" x14ac:dyDescent="0.4">
      <c r="A36" s="770"/>
      <c r="T36" s="1"/>
    </row>
    <row r="37" spans="1:20" ht="16.5" customHeight="1" x14ac:dyDescent="0.4">
      <c r="A37" s="770"/>
      <c r="T37" s="1"/>
    </row>
    <row r="38" spans="1:20" ht="16.5" customHeight="1" x14ac:dyDescent="0.4">
      <c r="A38" s="770"/>
      <c r="T38" s="1"/>
    </row>
    <row r="39" spans="1:20" ht="16.5" customHeight="1" x14ac:dyDescent="0.4">
      <c r="A39" s="770"/>
      <c r="T39" s="1"/>
    </row>
    <row r="40" spans="1:20" ht="16.5" customHeight="1" x14ac:dyDescent="0.4">
      <c r="A40" s="770"/>
      <c r="T40" s="1"/>
    </row>
    <row r="41" spans="1:20" ht="16.5" customHeight="1" x14ac:dyDescent="0.4">
      <c r="A41" s="770"/>
      <c r="T41" s="1"/>
    </row>
    <row r="42" spans="1:20" ht="16.5" customHeight="1" x14ac:dyDescent="0.4">
      <c r="A42" s="770"/>
      <c r="T42" s="1"/>
    </row>
    <row r="43" spans="1:20" ht="16.5" customHeight="1" x14ac:dyDescent="0.4">
      <c r="A43" s="770"/>
      <c r="T43" s="1"/>
    </row>
    <row r="44" spans="1:20" ht="16.5" customHeight="1" x14ac:dyDescent="0.4">
      <c r="A44" s="770"/>
      <c r="T44" s="1"/>
    </row>
    <row r="45" spans="1:20" ht="16.5" customHeight="1" x14ac:dyDescent="0.4">
      <c r="A45" s="770"/>
      <c r="T45" s="1"/>
    </row>
    <row r="46" spans="1:20" ht="16.5" customHeight="1" x14ac:dyDescent="0.4">
      <c r="A46" s="770"/>
      <c r="T46" s="1"/>
    </row>
    <row r="47" spans="1:20" ht="16.5" customHeight="1" x14ac:dyDescent="0.4">
      <c r="A47" s="770"/>
      <c r="T47" s="1"/>
    </row>
    <row r="48" spans="1:20" ht="16.5" customHeight="1" x14ac:dyDescent="0.4">
      <c r="A48" s="770"/>
      <c r="T48" s="1"/>
    </row>
    <row r="49" spans="1:20" ht="16.5" customHeight="1" x14ac:dyDescent="0.4">
      <c r="A49" s="770"/>
      <c r="T49" s="1"/>
    </row>
    <row r="50" spans="1:20" ht="16.5" customHeight="1" x14ac:dyDescent="0.4">
      <c r="A50" s="770"/>
      <c r="T50" s="1"/>
    </row>
    <row r="51" spans="1:20" ht="16.5" customHeight="1" x14ac:dyDescent="0.4">
      <c r="A51" s="770"/>
      <c r="T51" s="1"/>
    </row>
    <row r="52" spans="1:20" ht="16.5" customHeight="1" x14ac:dyDescent="0.4">
      <c r="A52" s="770"/>
      <c r="T52" s="1"/>
    </row>
    <row r="53" spans="1:20" ht="16.5" customHeight="1" x14ac:dyDescent="0.4">
      <c r="A53" s="770"/>
      <c r="T53" s="1"/>
    </row>
    <row r="54" spans="1:20" ht="16.5" customHeight="1" x14ac:dyDescent="0.4">
      <c r="A54" s="770"/>
      <c r="T54" s="1"/>
    </row>
    <row r="55" spans="1:20" ht="16.5" customHeight="1" x14ac:dyDescent="0.4">
      <c r="A55" s="770"/>
      <c r="T55" s="1"/>
    </row>
    <row r="56" spans="1:20" ht="16.5" customHeight="1" x14ac:dyDescent="0.4">
      <c r="A56" s="770"/>
      <c r="T56" s="1"/>
    </row>
    <row r="57" spans="1:20" ht="16.5" customHeight="1" x14ac:dyDescent="0.4">
      <c r="A57" s="770"/>
      <c r="T57" s="1"/>
    </row>
    <row r="58" spans="1:20" ht="16.5" customHeight="1" x14ac:dyDescent="0.4">
      <c r="A58" s="770"/>
      <c r="T58" s="1"/>
    </row>
    <row r="59" spans="1:20" ht="16.5" customHeight="1" x14ac:dyDescent="0.4">
      <c r="A59" s="770"/>
      <c r="T59" s="1"/>
    </row>
    <row r="60" spans="1:20" ht="16.5" customHeight="1" x14ac:dyDescent="0.4">
      <c r="A60" s="770"/>
      <c r="T60" s="1"/>
    </row>
    <row r="61" spans="1:20" ht="16.5" customHeight="1" x14ac:dyDescent="0.4">
      <c r="A61" s="770"/>
      <c r="T61" s="1"/>
    </row>
    <row r="62" spans="1:20" ht="16.5" customHeight="1" x14ac:dyDescent="0.4">
      <c r="A62" s="770"/>
      <c r="T62" s="1"/>
    </row>
    <row r="63" spans="1:20" ht="16.5" customHeight="1" x14ac:dyDescent="0.4">
      <c r="A63" s="770"/>
      <c r="T63" s="1"/>
    </row>
    <row r="64" spans="1:20" ht="16.5" customHeight="1" x14ac:dyDescent="0.4">
      <c r="A64" s="770"/>
      <c r="T64" s="1"/>
    </row>
    <row r="65" spans="1:20" ht="16.5" customHeight="1" x14ac:dyDescent="0.4">
      <c r="A65" s="770"/>
      <c r="T65" s="1"/>
    </row>
    <row r="66" spans="1:20" ht="16.5" customHeight="1" x14ac:dyDescent="0.4">
      <c r="A66" s="770"/>
      <c r="T66" s="1"/>
    </row>
    <row r="67" spans="1:20" ht="16.5" customHeight="1" x14ac:dyDescent="0.4">
      <c r="A67" s="770"/>
      <c r="T67" s="1"/>
    </row>
    <row r="68" spans="1:20" ht="16.5" customHeight="1" x14ac:dyDescent="0.4">
      <c r="A68" s="770"/>
      <c r="T68" s="1"/>
    </row>
    <row r="69" spans="1:20" ht="16.5" customHeight="1" x14ac:dyDescent="0.4">
      <c r="A69" s="770"/>
      <c r="T69" s="1"/>
    </row>
    <row r="70" spans="1:20" ht="16.5" customHeight="1" x14ac:dyDescent="0.4">
      <c r="A70" s="770"/>
      <c r="T70" s="1"/>
    </row>
    <row r="71" spans="1:20" ht="16.5" customHeight="1" x14ac:dyDescent="0.4">
      <c r="A71" s="770"/>
      <c r="T71" s="1"/>
    </row>
    <row r="72" spans="1:20" ht="16.5" customHeight="1" x14ac:dyDescent="0.4">
      <c r="A72" s="770"/>
      <c r="T72" s="1"/>
    </row>
    <row r="73" spans="1:20" ht="16.5" customHeight="1" x14ac:dyDescent="0.4">
      <c r="A73" s="770"/>
      <c r="T73" s="1"/>
    </row>
    <row r="74" spans="1:20" ht="16.5" customHeight="1" x14ac:dyDescent="0.4">
      <c r="A74" s="770"/>
      <c r="T74" s="1"/>
    </row>
    <row r="75" spans="1:20" ht="16.5" customHeight="1" x14ac:dyDescent="0.4">
      <c r="A75" s="770"/>
      <c r="T75" s="1"/>
    </row>
    <row r="76" spans="1:20" ht="16.5" customHeight="1" x14ac:dyDescent="0.4">
      <c r="A76" s="770"/>
      <c r="T76" s="1"/>
    </row>
    <row r="77" spans="1:20" ht="16.5" customHeight="1" x14ac:dyDescent="0.4">
      <c r="A77" s="770"/>
      <c r="T77" s="1"/>
    </row>
    <row r="78" spans="1:20" ht="16.5" customHeight="1" x14ac:dyDescent="0.4">
      <c r="A78" s="770"/>
      <c r="T78" s="1"/>
    </row>
    <row r="79" spans="1:20" ht="16.5" customHeight="1" x14ac:dyDescent="0.4">
      <c r="A79" s="770"/>
      <c r="T79" s="1"/>
    </row>
    <row r="80" spans="1:20" ht="16.5" customHeight="1" x14ac:dyDescent="0.4">
      <c r="A80" s="770"/>
      <c r="T80" s="1"/>
    </row>
    <row r="81" spans="1:20" ht="16.5" customHeight="1" x14ac:dyDescent="0.4">
      <c r="A81" s="770"/>
      <c r="T81" s="1"/>
    </row>
    <row r="82" spans="1:20" ht="16.5" customHeight="1" x14ac:dyDescent="0.4">
      <c r="A82" s="770"/>
      <c r="T82" s="1"/>
    </row>
    <row r="83" spans="1:20" ht="16.5" customHeight="1" x14ac:dyDescent="0.4">
      <c r="A83" s="770"/>
      <c r="T83" s="1"/>
    </row>
    <row r="84" spans="1:20" ht="16.5" customHeight="1" x14ac:dyDescent="0.4">
      <c r="A84" s="770"/>
      <c r="T84" s="1"/>
    </row>
    <row r="85" spans="1:20" ht="16.5" customHeight="1" x14ac:dyDescent="0.4">
      <c r="A85" s="770"/>
      <c r="T85" s="1"/>
    </row>
    <row r="86" spans="1:20" ht="16.5" customHeight="1" x14ac:dyDescent="0.4">
      <c r="A86" s="770"/>
      <c r="T86" s="1"/>
    </row>
    <row r="87" spans="1:20" ht="16.5" customHeight="1" x14ac:dyDescent="0.4">
      <c r="A87" s="770"/>
      <c r="T87" s="1"/>
    </row>
    <row r="88" spans="1:20" ht="16.5" customHeight="1" x14ac:dyDescent="0.4">
      <c r="A88" s="770"/>
      <c r="T88" s="1"/>
    </row>
    <row r="89" spans="1:20" ht="16.5" customHeight="1" x14ac:dyDescent="0.4">
      <c r="A89" s="770"/>
      <c r="T89" s="1"/>
    </row>
    <row r="90" spans="1:20" ht="16.5" customHeight="1" x14ac:dyDescent="0.4">
      <c r="A90" s="770"/>
      <c r="T90" s="1"/>
    </row>
    <row r="91" spans="1:20" ht="16.5" customHeight="1" x14ac:dyDescent="0.4">
      <c r="A91" s="770"/>
      <c r="T91" s="1"/>
    </row>
    <row r="92" spans="1:20" ht="16.5" customHeight="1" x14ac:dyDescent="0.4">
      <c r="A92" s="770"/>
      <c r="T92" s="1"/>
    </row>
    <row r="93" spans="1:20" ht="16.5" customHeight="1" x14ac:dyDescent="0.4">
      <c r="A93" s="770"/>
      <c r="T93" s="1"/>
    </row>
    <row r="94" spans="1:20" ht="16.5" customHeight="1" x14ac:dyDescent="0.4">
      <c r="A94" s="770"/>
      <c r="T94" s="1"/>
    </row>
    <row r="95" spans="1:20" ht="16.5" customHeight="1" x14ac:dyDescent="0.4">
      <c r="A95" s="770"/>
      <c r="T95" s="1"/>
    </row>
    <row r="96" spans="1:20" ht="16.5" customHeight="1" x14ac:dyDescent="0.4">
      <c r="A96" s="770"/>
      <c r="T96" s="1"/>
    </row>
    <row r="97" spans="1:20" ht="16.5" customHeight="1" x14ac:dyDescent="0.4">
      <c r="A97" s="770"/>
      <c r="T97" s="1"/>
    </row>
    <row r="98" spans="1:20" ht="16.5" customHeight="1" x14ac:dyDescent="0.4">
      <c r="A98" s="770"/>
      <c r="T98" s="1"/>
    </row>
    <row r="99" spans="1:20" ht="16.5" customHeight="1" x14ac:dyDescent="0.4">
      <c r="A99" s="770"/>
      <c r="T99" s="1"/>
    </row>
    <row r="100" spans="1:20" ht="16.5" customHeight="1" x14ac:dyDescent="0.4">
      <c r="A100" s="770"/>
      <c r="T100" s="1"/>
    </row>
    <row r="101" spans="1:20" ht="16.5" customHeight="1" x14ac:dyDescent="0.4">
      <c r="A101" s="770"/>
      <c r="T101" s="1"/>
    </row>
    <row r="102" spans="1:20" ht="16.5" customHeight="1" x14ac:dyDescent="0.4">
      <c r="A102" s="770"/>
      <c r="T102" s="1"/>
    </row>
    <row r="103" spans="1:20" ht="16.5" customHeight="1" x14ac:dyDescent="0.4">
      <c r="A103" s="770"/>
      <c r="T103" s="1"/>
    </row>
    <row r="104" spans="1:20" ht="16.5" customHeight="1" x14ac:dyDescent="0.4">
      <c r="A104" s="770"/>
      <c r="T104" s="1"/>
    </row>
    <row r="105" spans="1:20" ht="16.5" customHeight="1" x14ac:dyDescent="0.4">
      <c r="A105" s="770"/>
      <c r="T105" s="1"/>
    </row>
    <row r="106" spans="1:20" ht="16.5" customHeight="1" x14ac:dyDescent="0.4">
      <c r="A106" s="770"/>
      <c r="T106" s="1"/>
    </row>
    <row r="107" spans="1:20" ht="16.5" customHeight="1" x14ac:dyDescent="0.4">
      <c r="A107" s="770"/>
      <c r="T107" s="1"/>
    </row>
    <row r="108" spans="1:20" ht="16.5" customHeight="1" x14ac:dyDescent="0.4">
      <c r="A108" s="770"/>
      <c r="T108" s="1"/>
    </row>
    <row r="109" spans="1:20" ht="16.5" customHeight="1" x14ac:dyDescent="0.4">
      <c r="A109" s="770"/>
      <c r="T109" s="1"/>
    </row>
    <row r="110" spans="1:20" ht="16.5" customHeight="1" x14ac:dyDescent="0.4">
      <c r="A110" s="770"/>
      <c r="T110" s="1"/>
    </row>
    <row r="111" spans="1:20" ht="16.5" customHeight="1" x14ac:dyDescent="0.4">
      <c r="A111" s="770"/>
      <c r="T111" s="1"/>
    </row>
    <row r="112" spans="1:20" ht="16.5" customHeight="1" x14ac:dyDescent="0.4">
      <c r="A112" s="770"/>
      <c r="T112" s="1"/>
    </row>
    <row r="113" spans="1:20" ht="16.5" customHeight="1" x14ac:dyDescent="0.4">
      <c r="A113" s="770"/>
      <c r="T113" s="1"/>
    </row>
    <row r="114" spans="1:20" ht="16.5" customHeight="1" x14ac:dyDescent="0.4">
      <c r="A114" s="770"/>
      <c r="T114" s="1"/>
    </row>
    <row r="115" spans="1:20" ht="16.5" customHeight="1" x14ac:dyDescent="0.4">
      <c r="A115" s="770"/>
      <c r="T115" s="1"/>
    </row>
    <row r="116" spans="1:20" ht="16.5" customHeight="1" x14ac:dyDescent="0.4">
      <c r="A116" s="770"/>
      <c r="T116" s="1"/>
    </row>
    <row r="117" spans="1:20" ht="16.5" customHeight="1" x14ac:dyDescent="0.4">
      <c r="A117" s="770"/>
    </row>
    <row r="118" spans="1:20" ht="16.5" customHeight="1" x14ac:dyDescent="0.4">
      <c r="A118" s="770"/>
    </row>
    <row r="119" spans="1:20" ht="16.5" customHeight="1" x14ac:dyDescent="0.4">
      <c r="A119" s="770"/>
    </row>
    <row r="120" spans="1:20" ht="16.5" customHeight="1" x14ac:dyDescent="0.4">
      <c r="A120" s="770"/>
    </row>
    <row r="121" spans="1:20" ht="16.5" customHeight="1" x14ac:dyDescent="0.4">
      <c r="A121" s="770"/>
    </row>
    <row r="122" spans="1:20" ht="16.5" customHeight="1" x14ac:dyDescent="0.4">
      <c r="A122" s="770"/>
    </row>
    <row r="123" spans="1:20" ht="16.5" customHeight="1" x14ac:dyDescent="0.4">
      <c r="A123" s="770"/>
    </row>
    <row r="124" spans="1:20" ht="16.5" customHeight="1" x14ac:dyDescent="0.4">
      <c r="A124" s="770"/>
    </row>
    <row r="125" spans="1:20" ht="16.5" customHeight="1" x14ac:dyDescent="0.4">
      <c r="A125" s="770"/>
    </row>
    <row r="126" spans="1:20" ht="16.5" customHeight="1" x14ac:dyDescent="0.4">
      <c r="A126" s="770"/>
    </row>
    <row r="127" spans="1:20" ht="16.5" customHeight="1" x14ac:dyDescent="0.4">
      <c r="A127" s="770"/>
    </row>
    <row r="128" spans="1:20" ht="16.5" customHeight="1" x14ac:dyDescent="0.4">
      <c r="A128" s="770"/>
    </row>
    <row r="129" spans="1:1" ht="16.5" customHeight="1" x14ac:dyDescent="0.4">
      <c r="A129" s="770"/>
    </row>
    <row r="130" spans="1:1" ht="16.5" customHeight="1" x14ac:dyDescent="0.4">
      <c r="A130" s="770"/>
    </row>
    <row r="131" spans="1:1" ht="16.5" customHeight="1" x14ac:dyDescent="0.4">
      <c r="A131" s="770"/>
    </row>
    <row r="132" spans="1:1" ht="16.5" customHeight="1" x14ac:dyDescent="0.4">
      <c r="A132" s="770"/>
    </row>
    <row r="133" spans="1:1" ht="16.5" customHeight="1" x14ac:dyDescent="0.4">
      <c r="A133" s="770"/>
    </row>
    <row r="134" spans="1:1" ht="16.5" customHeight="1" x14ac:dyDescent="0.4">
      <c r="A134" s="770"/>
    </row>
    <row r="135" spans="1:1" ht="16.5" customHeight="1" x14ac:dyDescent="0.4">
      <c r="A135" s="770"/>
    </row>
    <row r="136" spans="1:1" ht="16.5" customHeight="1" x14ac:dyDescent="0.4">
      <c r="A136" s="770"/>
    </row>
    <row r="137" spans="1:1" ht="16.5" customHeight="1" x14ac:dyDescent="0.4">
      <c r="A137" s="770"/>
    </row>
    <row r="138" spans="1:1" ht="16.5" customHeight="1" x14ac:dyDescent="0.4">
      <c r="A138" s="770"/>
    </row>
    <row r="139" spans="1:1" ht="16.5" customHeight="1" x14ac:dyDescent="0.4">
      <c r="A139" s="770"/>
    </row>
    <row r="140" spans="1:1" ht="16.5" customHeight="1" x14ac:dyDescent="0.4">
      <c r="A140" s="770"/>
    </row>
    <row r="141" spans="1:1" ht="16.5" customHeight="1" x14ac:dyDescent="0.4">
      <c r="A141" s="770"/>
    </row>
    <row r="142" spans="1:1" ht="16.5" customHeight="1" x14ac:dyDescent="0.4">
      <c r="A142" s="770"/>
    </row>
    <row r="143" spans="1:1" ht="16.5" customHeight="1" x14ac:dyDescent="0.4">
      <c r="A143" s="770"/>
    </row>
    <row r="144" spans="1:1" ht="16.5" customHeight="1" x14ac:dyDescent="0.4">
      <c r="A144" s="770"/>
    </row>
    <row r="145" spans="1:1" ht="16.5" customHeight="1" x14ac:dyDescent="0.4">
      <c r="A145" s="770"/>
    </row>
    <row r="146" spans="1:1" ht="16.5" customHeight="1" x14ac:dyDescent="0.4">
      <c r="A146" s="770"/>
    </row>
    <row r="147" spans="1:1" ht="16.5" customHeight="1" x14ac:dyDescent="0.4">
      <c r="A147" s="770"/>
    </row>
    <row r="148" spans="1:1" ht="16.5" customHeight="1" x14ac:dyDescent="0.4">
      <c r="A148" s="770"/>
    </row>
    <row r="149" spans="1:1" ht="16.5" customHeight="1" x14ac:dyDescent="0.4">
      <c r="A149" s="770"/>
    </row>
    <row r="150" spans="1:1" ht="16.5" customHeight="1" x14ac:dyDescent="0.4">
      <c r="A150" s="770"/>
    </row>
    <row r="151" spans="1:1" ht="16.5" customHeight="1" x14ac:dyDescent="0.4">
      <c r="A151" s="770"/>
    </row>
    <row r="152" spans="1:1" ht="16.5" customHeight="1" x14ac:dyDescent="0.4">
      <c r="A152" s="770"/>
    </row>
    <row r="153" spans="1:1" ht="16.5" customHeight="1" x14ac:dyDescent="0.4">
      <c r="A153" s="770"/>
    </row>
    <row r="154" spans="1:1" ht="16.5" customHeight="1" x14ac:dyDescent="0.4">
      <c r="A154" s="770"/>
    </row>
    <row r="155" spans="1:1" ht="16.5" customHeight="1" x14ac:dyDescent="0.4">
      <c r="A155" s="770"/>
    </row>
    <row r="156" spans="1:1" ht="16.5" customHeight="1" x14ac:dyDescent="0.4">
      <c r="A156" s="770"/>
    </row>
    <row r="157" spans="1:1" ht="16.5" customHeight="1" x14ac:dyDescent="0.4">
      <c r="A157" s="770"/>
    </row>
    <row r="158" spans="1:1" ht="16.5" customHeight="1" x14ac:dyDescent="0.4">
      <c r="A158" s="770"/>
    </row>
    <row r="159" spans="1:1" ht="16.5" customHeight="1" x14ac:dyDescent="0.4">
      <c r="A159" s="770"/>
    </row>
    <row r="160" spans="1:1" ht="16.5" customHeight="1" x14ac:dyDescent="0.4">
      <c r="A160" s="770"/>
    </row>
    <row r="161" spans="1:1" ht="16.5" customHeight="1" x14ac:dyDescent="0.4">
      <c r="A161" s="770"/>
    </row>
    <row r="162" spans="1:1" ht="16.5" customHeight="1" x14ac:dyDescent="0.4">
      <c r="A162" s="770"/>
    </row>
    <row r="163" spans="1:1" ht="16.5" customHeight="1" x14ac:dyDescent="0.4">
      <c r="A163" s="770"/>
    </row>
    <row r="164" spans="1:1" ht="16.5" customHeight="1" x14ac:dyDescent="0.4">
      <c r="A164" s="770"/>
    </row>
    <row r="165" spans="1:1" ht="16.5" customHeight="1" x14ac:dyDescent="0.4">
      <c r="A165" s="770"/>
    </row>
    <row r="166" spans="1:1" ht="16.5" customHeight="1" x14ac:dyDescent="0.4">
      <c r="A166" s="770"/>
    </row>
    <row r="167" spans="1:1" ht="16.5" customHeight="1" x14ac:dyDescent="0.4">
      <c r="A167" s="770"/>
    </row>
    <row r="168" spans="1:1" ht="16.5" customHeight="1" x14ac:dyDescent="0.4">
      <c r="A168" s="770"/>
    </row>
    <row r="169" spans="1:1" ht="16.5" customHeight="1" x14ac:dyDescent="0.4">
      <c r="A169" s="770"/>
    </row>
    <row r="170" spans="1:1" ht="16.5" customHeight="1" x14ac:dyDescent="0.4">
      <c r="A170" s="770"/>
    </row>
    <row r="171" spans="1:1" ht="16.5" customHeight="1" x14ac:dyDescent="0.4">
      <c r="A171" s="770"/>
    </row>
    <row r="172" spans="1:1" ht="16.5" customHeight="1" x14ac:dyDescent="0.4">
      <c r="A172" s="770"/>
    </row>
    <row r="173" spans="1:1" ht="16.5" customHeight="1" x14ac:dyDescent="0.4">
      <c r="A173" s="770"/>
    </row>
    <row r="174" spans="1:1" ht="16.5" customHeight="1" x14ac:dyDescent="0.4">
      <c r="A174" s="770"/>
    </row>
    <row r="175" spans="1:1" ht="16.5" customHeight="1" x14ac:dyDescent="0.4">
      <c r="A175" s="770"/>
    </row>
    <row r="176" spans="1:1" ht="16.5" customHeight="1" x14ac:dyDescent="0.4">
      <c r="A176" s="770"/>
    </row>
  </sheetData>
  <mergeCells count="46">
    <mergeCell ref="H29:J29"/>
    <mergeCell ref="H30:L30"/>
    <mergeCell ref="L24:N24"/>
    <mergeCell ref="B25:B26"/>
    <mergeCell ref="C25:C26"/>
    <mergeCell ref="I25:I26"/>
    <mergeCell ref="J25:L26"/>
    <mergeCell ref="D26:H26"/>
    <mergeCell ref="H28:J28"/>
    <mergeCell ref="B24:C24"/>
    <mergeCell ref="H24:J24"/>
    <mergeCell ref="D25:E25"/>
    <mergeCell ref="L16:N16"/>
    <mergeCell ref="B17:B18"/>
    <mergeCell ref="D17:E17"/>
    <mergeCell ref="D18:H18"/>
    <mergeCell ref="N7:O8"/>
    <mergeCell ref="B16:C16"/>
    <mergeCell ref="I17:I18"/>
    <mergeCell ref="J17:L18"/>
    <mergeCell ref="H16:J16"/>
    <mergeCell ref="C17:C18"/>
    <mergeCell ref="C13:D13"/>
    <mergeCell ref="C14:D14"/>
    <mergeCell ref="E13:E14"/>
    <mergeCell ref="F13:H13"/>
    <mergeCell ref="F14:H14"/>
    <mergeCell ref="I13:I14"/>
    <mergeCell ref="C21:D21"/>
    <mergeCell ref="E21:E22"/>
    <mergeCell ref="F21:H21"/>
    <mergeCell ref="I21:I22"/>
    <mergeCell ref="C22:D22"/>
    <mergeCell ref="F22:H22"/>
    <mergeCell ref="I10:I11"/>
    <mergeCell ref="J10:L10"/>
    <mergeCell ref="J11:L11"/>
    <mergeCell ref="E10:E11"/>
    <mergeCell ref="F10:H10"/>
    <mergeCell ref="F11:H11"/>
    <mergeCell ref="I8:L8"/>
    <mergeCell ref="I7:L7"/>
    <mergeCell ref="E7:H7"/>
    <mergeCell ref="C7:D7"/>
    <mergeCell ref="C8:D8"/>
    <mergeCell ref="E8:H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/>
  <dimension ref="A1:AB21"/>
  <sheetViews>
    <sheetView workbookViewId="0">
      <selection activeCell="Q4" sqref="Q4"/>
    </sheetView>
  </sheetViews>
  <sheetFormatPr defaultColWidth="9" defaultRowHeight="14.4" x14ac:dyDescent="0.3"/>
  <cols>
    <col min="1" max="1" width="2.59765625" style="1463" customWidth="1"/>
    <col min="2" max="4" width="5.59765625" style="1467" customWidth="1"/>
    <col min="5" max="6" width="9" style="1467"/>
    <col min="7" max="7" width="6.19921875" style="1467" customWidth="1"/>
    <col min="8" max="8" width="9" style="1467"/>
    <col min="9" max="9" width="5.59765625" style="1467" customWidth="1"/>
    <col min="10" max="10" width="4.69921875" style="1467" customWidth="1"/>
    <col min="11" max="11" width="9" style="1467"/>
    <col min="12" max="12" width="5.69921875" style="1467" customWidth="1"/>
    <col min="13" max="13" width="9.5" style="1467" customWidth="1"/>
    <col min="14" max="14" width="3.19921875" style="1467" customWidth="1"/>
    <col min="15" max="15" width="9" style="1467"/>
    <col min="16" max="16" width="2.69921875" style="1467" customWidth="1"/>
    <col min="17" max="16384" width="9" style="1467"/>
  </cols>
  <sheetData>
    <row r="1" spans="2:28" s="1463" customFormat="1" ht="25.5" customHeight="1" x14ac:dyDescent="0.3">
      <c r="B1" s="1464" t="str">
        <f>Inicio!J6</f>
        <v>Estudante</v>
      </c>
      <c r="C1" s="1464"/>
      <c r="D1" s="1465"/>
      <c r="E1" s="1464" t="s">
        <v>256</v>
      </c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6"/>
      <c r="R1" s="1466"/>
      <c r="S1" s="1466"/>
      <c r="T1" s="1467"/>
      <c r="U1" s="1467"/>
      <c r="V1" s="1467"/>
      <c r="W1" s="1467"/>
      <c r="X1" s="1467"/>
      <c r="Y1" s="1467"/>
      <c r="Z1" s="1467"/>
      <c r="AA1" s="1467"/>
      <c r="AB1" s="1467"/>
    </row>
    <row r="2" spans="2:28" x14ac:dyDescent="0.3">
      <c r="P2" s="1465"/>
    </row>
    <row r="3" spans="2:28" x14ac:dyDescent="0.3">
      <c r="P3" s="1465"/>
    </row>
    <row r="4" spans="2:28" x14ac:dyDescent="0.3">
      <c r="O4" s="1468"/>
      <c r="P4" s="1465"/>
    </row>
    <row r="5" spans="2:28" x14ac:dyDescent="0.3">
      <c r="O5" s="1468"/>
      <c r="P5" s="1465"/>
    </row>
    <row r="6" spans="2:28" x14ac:dyDescent="0.3">
      <c r="O6" s="1468"/>
      <c r="P6" s="1465"/>
    </row>
    <row r="7" spans="2:28" ht="15" thickBot="1" x14ac:dyDescent="0.35">
      <c r="O7" s="1468"/>
      <c r="P7" s="1465"/>
    </row>
    <row r="8" spans="2:28" ht="15" thickBot="1" x14ac:dyDescent="0.35">
      <c r="J8" s="1467" t="s">
        <v>260</v>
      </c>
      <c r="K8" s="1469">
        <v>3</v>
      </c>
      <c r="L8" s="1467" t="s">
        <v>264</v>
      </c>
      <c r="M8" s="1470">
        <f>K8/100</f>
        <v>0.03</v>
      </c>
      <c r="N8" s="1471" t="s">
        <v>265</v>
      </c>
      <c r="O8" s="1468"/>
      <c r="P8" s="1465"/>
    </row>
    <row r="9" spans="2:28" ht="15" thickBot="1" x14ac:dyDescent="0.35">
      <c r="J9" s="1467" t="s">
        <v>257</v>
      </c>
      <c r="K9" s="1469">
        <v>8</v>
      </c>
      <c r="L9" s="1467" t="s">
        <v>264</v>
      </c>
      <c r="M9" s="1470">
        <f t="shared" ref="M9:M11" si="0">K9/100</f>
        <v>0.08</v>
      </c>
      <c r="N9" s="1471" t="s">
        <v>265</v>
      </c>
      <c r="O9" s="1468"/>
      <c r="P9" s="1465"/>
    </row>
    <row r="10" spans="2:28" ht="15" thickBot="1" x14ac:dyDescent="0.35">
      <c r="H10" s="1472"/>
      <c r="J10" s="1467" t="s">
        <v>258</v>
      </c>
      <c r="K10" s="1469">
        <v>18</v>
      </c>
      <c r="L10" s="1467" t="s">
        <v>264</v>
      </c>
      <c r="M10" s="1470">
        <f t="shared" si="0"/>
        <v>0.18</v>
      </c>
      <c r="N10" s="1471" t="s">
        <v>265</v>
      </c>
      <c r="O10" s="1468"/>
      <c r="P10" s="1465"/>
    </row>
    <row r="11" spans="2:28" ht="15" thickBot="1" x14ac:dyDescent="0.35">
      <c r="J11" s="1467" t="s">
        <v>261</v>
      </c>
      <c r="K11" s="1469">
        <v>28</v>
      </c>
      <c r="L11" s="1467" t="s">
        <v>264</v>
      </c>
      <c r="M11" s="1470">
        <f t="shared" si="0"/>
        <v>0.28000000000000003</v>
      </c>
      <c r="N11" s="1471" t="s">
        <v>265</v>
      </c>
      <c r="O11" s="1468"/>
      <c r="P11" s="1465"/>
    </row>
    <row r="12" spans="2:28" ht="15" thickBot="1" x14ac:dyDescent="0.35">
      <c r="I12" s="2181" t="s">
        <v>269</v>
      </c>
      <c r="J12" s="2182"/>
      <c r="K12" s="1469">
        <v>8.1</v>
      </c>
      <c r="L12" s="1467" t="s">
        <v>262</v>
      </c>
      <c r="M12" s="1473">
        <f>K12</f>
        <v>8.1</v>
      </c>
      <c r="N12" s="1474" t="s">
        <v>262</v>
      </c>
      <c r="O12" s="1468"/>
      <c r="P12" s="1465"/>
    </row>
    <row r="13" spans="2:28" x14ac:dyDescent="0.3">
      <c r="P13" s="1465"/>
    </row>
    <row r="14" spans="2:28" x14ac:dyDescent="0.3">
      <c r="B14" s="1210"/>
      <c r="P14" s="1465"/>
    </row>
    <row r="15" spans="2:28" x14ac:dyDescent="0.3">
      <c r="P15" s="1465"/>
    </row>
    <row r="16" spans="2:28" x14ac:dyDescent="0.3">
      <c r="B16" s="1467" t="s">
        <v>266</v>
      </c>
      <c r="G16" s="1473" t="str">
        <f>CONCATENATE(M9,"m x",M10,"m x",M11,"m     =  ")</f>
        <v xml:space="preserve">0,08m x0,18m x0,28m     =  </v>
      </c>
      <c r="H16" s="1473"/>
      <c r="I16" s="1473"/>
      <c r="J16" s="1473"/>
      <c r="K16" s="1475"/>
      <c r="L16" s="2178">
        <f>M9*M10*M11</f>
        <v>4.032E-3</v>
      </c>
      <c r="M16" s="2178"/>
      <c r="N16" s="1467" t="s">
        <v>263</v>
      </c>
      <c r="P16" s="1465"/>
    </row>
    <row r="17" spans="2:16" x14ac:dyDescent="0.3">
      <c r="B17" s="1473" t="str">
        <f>CONCATENATE("2º  Volume de dois cilindros: 2 x( 3,14x(",M8,"/2)² x ",M8,") = ")</f>
        <v xml:space="preserve">2º  Volume de dois cilindros: 2 x( 3,14x(0,03/2)² x 0,03) = </v>
      </c>
      <c r="C17" s="1473"/>
      <c r="D17" s="1473"/>
      <c r="E17" s="1473"/>
      <c r="F17" s="1473"/>
      <c r="G17" s="1473"/>
      <c r="H17" s="1473"/>
      <c r="I17" s="1473"/>
      <c r="J17" s="1473"/>
      <c r="K17" s="1473"/>
      <c r="L17" s="2179">
        <f>2*(3.14*(M8/2)^2*M8)</f>
        <v>4.2389999999999999E-5</v>
      </c>
      <c r="M17" s="2179"/>
      <c r="N17" s="1467" t="s">
        <v>263</v>
      </c>
      <c r="P17" s="1465"/>
    </row>
    <row r="18" spans="2:16" x14ac:dyDescent="0.3">
      <c r="B18" s="1476" t="s">
        <v>268</v>
      </c>
      <c r="C18" s="1476"/>
      <c r="D18" s="1476"/>
      <c r="E18" s="1476"/>
      <c r="F18" s="1476"/>
      <c r="G18" s="1476"/>
      <c r="H18" s="1476"/>
      <c r="I18" s="1476"/>
      <c r="J18" s="1476"/>
      <c r="K18" s="1477"/>
      <c r="L18" s="2180">
        <f>L16-L17</f>
        <v>3.9896100000000002E-3</v>
      </c>
      <c r="M18" s="2180"/>
      <c r="N18" s="1476" t="s">
        <v>263</v>
      </c>
      <c r="P18" s="1465"/>
    </row>
    <row r="19" spans="2:16" x14ac:dyDescent="0.3">
      <c r="B19" s="1478" t="s">
        <v>267</v>
      </c>
      <c r="C19" s="1479"/>
      <c r="D19" s="1479"/>
      <c r="E19" s="1479"/>
      <c r="F19" s="1479"/>
      <c r="G19" s="1479"/>
      <c r="H19" s="1479"/>
      <c r="I19" s="1479"/>
      <c r="J19" s="1479"/>
      <c r="K19" s="1479"/>
      <c r="L19" s="2177">
        <f>K12/L18</f>
        <v>2030.2736357689096</v>
      </c>
      <c r="M19" s="2177"/>
      <c r="N19" s="1479" t="s">
        <v>270</v>
      </c>
      <c r="O19" s="1480"/>
      <c r="P19" s="1465"/>
    </row>
    <row r="20" spans="2:16" x14ac:dyDescent="0.3">
      <c r="P20" s="1465"/>
    </row>
    <row r="21" spans="2:16" x14ac:dyDescent="0.3">
      <c r="B21" s="1463"/>
      <c r="C21" s="1463"/>
      <c r="D21" s="1463"/>
      <c r="E21" s="1463"/>
      <c r="F21" s="1463"/>
      <c r="G21" s="1463"/>
      <c r="H21" s="1463"/>
      <c r="I21" s="1463"/>
      <c r="J21" s="1463"/>
      <c r="K21" s="1463"/>
      <c r="L21" s="1463"/>
      <c r="M21" s="1463"/>
      <c r="N21" s="1463"/>
      <c r="O21" s="1463"/>
      <c r="P21" s="1463"/>
    </row>
  </sheetData>
  <mergeCells count="5">
    <mergeCell ref="L19:M19"/>
    <mergeCell ref="L16:M16"/>
    <mergeCell ref="L17:M17"/>
    <mergeCell ref="L18:M18"/>
    <mergeCell ref="I12:J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/>
  <dimension ref="A1:U23"/>
  <sheetViews>
    <sheetView workbookViewId="0">
      <selection activeCell="S11" sqref="S11"/>
    </sheetView>
  </sheetViews>
  <sheetFormatPr defaultColWidth="8.8984375" defaultRowHeight="23.4" x14ac:dyDescent="0.45"/>
  <cols>
    <col min="1" max="1" width="2.69921875" style="783" customWidth="1"/>
    <col min="2" max="2" width="8.8984375" style="695"/>
    <col min="3" max="3" width="5.19921875" style="695" customWidth="1"/>
    <col min="4" max="4" width="4.09765625" style="695" customWidth="1"/>
    <col min="5" max="5" width="4.8984375" style="695" customWidth="1"/>
    <col min="6" max="6" width="6.09765625" style="695" customWidth="1"/>
    <col min="7" max="7" width="2.69921875" style="695" customWidth="1"/>
    <col min="8" max="8" width="2.59765625" style="695" customWidth="1"/>
    <col min="9" max="9" width="4.3984375" style="695" customWidth="1"/>
    <col min="10" max="10" width="5.19921875" style="695" customWidth="1"/>
    <col min="11" max="11" width="5.09765625" style="695" customWidth="1"/>
    <col min="12" max="12" width="5.59765625" style="695" customWidth="1"/>
    <col min="13" max="13" width="3.3984375" style="695" customWidth="1"/>
    <col min="14" max="14" width="9.59765625" style="695" customWidth="1"/>
    <col min="15" max="15" width="2.09765625" style="695" customWidth="1"/>
    <col min="16" max="16" width="19.5" style="695" customWidth="1"/>
    <col min="17" max="17" width="2.09765625" style="783" customWidth="1"/>
    <col min="18" max="16384" width="8.8984375" style="695"/>
  </cols>
  <sheetData>
    <row r="1" spans="1:21" ht="16.5" customHeight="1" x14ac:dyDescent="0.45">
      <c r="A1" s="783" t="str">
        <f>Inicio!J6</f>
        <v>Estudante</v>
      </c>
      <c r="B1" s="783"/>
      <c r="C1" s="783"/>
      <c r="D1" s="783" t="s">
        <v>256</v>
      </c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R1" s="784"/>
      <c r="S1" s="784"/>
      <c r="T1" s="784"/>
      <c r="U1" s="784"/>
    </row>
    <row r="5" spans="1:21" ht="16.5" customHeight="1" x14ac:dyDescent="0.45"/>
    <row r="6" spans="1:21" ht="16.5" customHeight="1" x14ac:dyDescent="0.45"/>
    <row r="7" spans="1:21" ht="16.5" customHeight="1" x14ac:dyDescent="0.45"/>
    <row r="8" spans="1:21" ht="16.5" customHeight="1" thickBot="1" x14ac:dyDescent="0.5"/>
    <row r="9" spans="1:21" ht="18.75" customHeight="1" thickBot="1" x14ac:dyDescent="0.5">
      <c r="B9" s="780" t="s">
        <v>277</v>
      </c>
      <c r="C9" s="1950">
        <v>62</v>
      </c>
      <c r="D9" s="1951"/>
      <c r="E9" s="696" t="s">
        <v>278</v>
      </c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</row>
    <row r="10" spans="1:21" ht="7.5" customHeight="1" thickBot="1" x14ac:dyDescent="0.5">
      <c r="B10" s="780"/>
      <c r="C10" s="696"/>
      <c r="D10" s="696"/>
      <c r="E10" s="1952"/>
      <c r="F10" s="1952"/>
      <c r="G10" s="780"/>
      <c r="H10" s="696"/>
      <c r="I10" s="696"/>
      <c r="J10" s="696"/>
      <c r="K10" s="696"/>
      <c r="L10" s="696"/>
      <c r="M10" s="696"/>
      <c r="N10" s="696"/>
      <c r="O10" s="696"/>
      <c r="P10" s="707"/>
    </row>
    <row r="11" spans="1:21" ht="17.25" customHeight="1" thickBot="1" x14ac:dyDescent="0.5">
      <c r="B11" s="780" t="s">
        <v>280</v>
      </c>
      <c r="C11" s="1953">
        <v>88</v>
      </c>
      <c r="D11" s="1954"/>
      <c r="E11" s="696" t="s">
        <v>259</v>
      </c>
      <c r="K11" s="696"/>
      <c r="L11" s="696"/>
      <c r="M11" s="696"/>
      <c r="N11" s="696"/>
      <c r="O11" s="696"/>
      <c r="P11" s="696"/>
    </row>
    <row r="12" spans="1:21" x14ac:dyDescent="0.45">
      <c r="B12" s="696"/>
      <c r="C12" s="696"/>
      <c r="D12" s="696"/>
      <c r="E12" s="696"/>
      <c r="K12" s="696"/>
      <c r="L12" s="696"/>
      <c r="M12" s="696"/>
      <c r="N12" s="696"/>
      <c r="O12" s="696"/>
      <c r="P12" s="696"/>
    </row>
    <row r="13" spans="1:21" ht="15.75" customHeight="1" x14ac:dyDescent="0.45">
      <c r="B13" s="1955" t="s">
        <v>282</v>
      </c>
      <c r="C13" s="700"/>
      <c r="D13" s="700"/>
      <c r="E13" s="699"/>
      <c r="K13" s="696"/>
      <c r="L13" s="696"/>
      <c r="M13" s="696"/>
      <c r="N13" s="781"/>
      <c r="O13" s="781"/>
      <c r="P13" s="781"/>
    </row>
    <row r="14" spans="1:21" ht="15.75" customHeight="1" x14ac:dyDescent="0.45">
      <c r="B14" s="1955"/>
      <c r="C14" s="700"/>
      <c r="D14" s="700"/>
      <c r="E14" s="699"/>
      <c r="F14" s="706" t="s">
        <v>283</v>
      </c>
      <c r="G14" s="1530" t="s">
        <v>3</v>
      </c>
      <c r="H14" s="1957" t="s">
        <v>287</v>
      </c>
      <c r="I14" s="1957"/>
      <c r="J14" s="1957"/>
      <c r="K14" s="1530" t="s">
        <v>3</v>
      </c>
      <c r="L14" s="1531" t="s">
        <v>286</v>
      </c>
      <c r="M14" s="1531"/>
      <c r="N14" s="1531"/>
      <c r="O14" s="697"/>
      <c r="P14" s="697"/>
    </row>
    <row r="15" spans="1:21" ht="15.75" customHeight="1" x14ac:dyDescent="0.45">
      <c r="B15" s="1955"/>
      <c r="C15" s="782" t="s">
        <v>257</v>
      </c>
      <c r="D15" s="782">
        <f>C11</f>
        <v>88</v>
      </c>
      <c r="E15" s="695" t="str">
        <f>E11</f>
        <v>cm</v>
      </c>
      <c r="F15" s="798" t="s">
        <v>284</v>
      </c>
      <c r="G15" s="1530"/>
      <c r="H15" s="1956" t="s">
        <v>285</v>
      </c>
      <c r="I15" s="1956"/>
      <c r="J15" s="1956"/>
      <c r="K15" s="1530"/>
      <c r="L15" s="1531"/>
      <c r="M15" s="1531"/>
      <c r="N15" s="1531"/>
      <c r="O15" s="697"/>
      <c r="P15" s="697"/>
    </row>
    <row r="16" spans="1:21" ht="15.75" customHeight="1" x14ac:dyDescent="0.45">
      <c r="B16" s="1955"/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</row>
    <row r="17" spans="2:16" ht="15.75" customHeight="1" x14ac:dyDescent="0.45">
      <c r="B17" s="1955"/>
      <c r="F17" s="706" t="s">
        <v>283</v>
      </c>
      <c r="G17" s="1530" t="s">
        <v>3</v>
      </c>
      <c r="H17" s="1957" t="s">
        <v>287</v>
      </c>
      <c r="I17" s="1957"/>
      <c r="J17" s="1957"/>
      <c r="K17" s="1530" t="s">
        <v>3</v>
      </c>
      <c r="L17" s="1531" t="s">
        <v>288</v>
      </c>
      <c r="M17" s="1531"/>
      <c r="N17" s="1531"/>
    </row>
    <row r="18" spans="2:16" ht="15.75" customHeight="1" x14ac:dyDescent="0.45">
      <c r="B18" s="1958" t="s">
        <v>281</v>
      </c>
      <c r="C18" s="803"/>
      <c r="F18" s="797" t="s">
        <v>279</v>
      </c>
      <c r="G18" s="1530"/>
      <c r="H18" s="1952" t="s">
        <v>291</v>
      </c>
      <c r="I18" s="1952"/>
      <c r="J18" s="1952"/>
      <c r="K18" s="1530"/>
      <c r="L18" s="1531"/>
      <c r="M18" s="1531"/>
      <c r="N18" s="1531"/>
    </row>
    <row r="19" spans="2:16" ht="12.75" customHeight="1" thickBot="1" x14ac:dyDescent="0.5">
      <c r="B19" s="1959"/>
      <c r="C19" s="804"/>
      <c r="F19" s="700"/>
      <c r="G19" s="781"/>
      <c r="H19" s="781"/>
      <c r="I19" s="781"/>
      <c r="J19" s="781"/>
    </row>
    <row r="20" spans="2:16" ht="20.25" customHeight="1" x14ac:dyDescent="0.45">
      <c r="B20" s="785" t="s">
        <v>283</v>
      </c>
      <c r="C20" s="1960" t="s">
        <v>3</v>
      </c>
      <c r="D20" s="786">
        <f>D15</f>
        <v>88</v>
      </c>
      <c r="E20" s="1960" t="s">
        <v>3</v>
      </c>
      <c r="F20" s="787" t="str">
        <f>CONCATENATE("sen(",C9,"°)")</f>
        <v>sen(62°)</v>
      </c>
      <c r="G20" s="787"/>
      <c r="H20" s="788"/>
      <c r="I20" s="1962" t="s">
        <v>289</v>
      </c>
      <c r="J20" s="1964" t="s">
        <v>290</v>
      </c>
      <c r="K20" s="1966">
        <f>D20</f>
        <v>88</v>
      </c>
      <c r="L20" s="1966"/>
      <c r="M20" s="1967" t="s">
        <v>3</v>
      </c>
      <c r="N20" s="799">
        <f>K20</f>
        <v>88</v>
      </c>
      <c r="O20" s="1969" t="s">
        <v>3</v>
      </c>
      <c r="P20" s="1971" t="str">
        <f>CONCATENATE(ROUND(N20/N21,1),E11)</f>
        <v>99,7cm</v>
      </c>
    </row>
    <row r="21" spans="2:16" ht="20.25" customHeight="1" thickBot="1" x14ac:dyDescent="0.5">
      <c r="B21" s="792" t="s">
        <v>284</v>
      </c>
      <c r="C21" s="1961"/>
      <c r="D21" s="794" t="str">
        <f>B21</f>
        <v>c</v>
      </c>
      <c r="E21" s="1961"/>
      <c r="F21" s="1973">
        <v>1</v>
      </c>
      <c r="G21" s="1973"/>
      <c r="H21" s="789"/>
      <c r="I21" s="1963"/>
      <c r="J21" s="1965"/>
      <c r="K21" s="1974" t="str">
        <f>F20</f>
        <v>sen(62°)</v>
      </c>
      <c r="L21" s="1974"/>
      <c r="M21" s="1968"/>
      <c r="N21" s="800">
        <f>SIN(C9/180*PI())</f>
        <v>0.88294759285892688</v>
      </c>
      <c r="O21" s="1970"/>
      <c r="P21" s="1972"/>
    </row>
    <row r="22" spans="2:16" ht="20.25" customHeight="1" x14ac:dyDescent="0.45">
      <c r="B22" s="785" t="s">
        <v>283</v>
      </c>
      <c r="C22" s="1960" t="s">
        <v>3</v>
      </c>
      <c r="D22" s="786">
        <f>D15</f>
        <v>88</v>
      </c>
      <c r="E22" s="1960" t="s">
        <v>3</v>
      </c>
      <c r="F22" s="787" t="str">
        <f>CONCATENATE("tg(",C9,"°)")</f>
        <v>tg(62°)</v>
      </c>
      <c r="G22" s="787"/>
      <c r="H22" s="788"/>
      <c r="I22" s="1962" t="s">
        <v>289</v>
      </c>
      <c r="J22" s="1980" t="s">
        <v>290</v>
      </c>
      <c r="K22" s="1982">
        <f>D22</f>
        <v>88</v>
      </c>
      <c r="L22" s="1982"/>
      <c r="M22" s="1983" t="s">
        <v>3</v>
      </c>
      <c r="N22" s="801">
        <f>K22</f>
        <v>88</v>
      </c>
      <c r="O22" s="1975" t="s">
        <v>3</v>
      </c>
      <c r="P22" s="1977" t="str">
        <f>CONCATENATE(ROUND(N22/N23,1),E13)</f>
        <v>46,8</v>
      </c>
    </row>
    <row r="23" spans="2:16" ht="20.25" customHeight="1" thickBot="1" x14ac:dyDescent="0.5">
      <c r="B23" s="795" t="s">
        <v>279</v>
      </c>
      <c r="C23" s="1961"/>
      <c r="D23" s="796" t="str">
        <f>B23</f>
        <v>b</v>
      </c>
      <c r="E23" s="1961"/>
      <c r="F23" s="1973">
        <v>1</v>
      </c>
      <c r="G23" s="1973"/>
      <c r="H23" s="789"/>
      <c r="I23" s="1963"/>
      <c r="J23" s="1981"/>
      <c r="K23" s="1979" t="str">
        <f>F22</f>
        <v>tg(62°)</v>
      </c>
      <c r="L23" s="1979"/>
      <c r="M23" s="1984"/>
      <c r="N23" s="802">
        <f>TAN(C9/180*PI())</f>
        <v>1.8807264653463318</v>
      </c>
      <c r="O23" s="1976"/>
      <c r="P23" s="1978"/>
    </row>
  </sheetData>
  <mergeCells count="35">
    <mergeCell ref="F23:G23"/>
    <mergeCell ref="K23:L23"/>
    <mergeCell ref="B18:B19"/>
    <mergeCell ref="O20:O21"/>
    <mergeCell ref="P20:P21"/>
    <mergeCell ref="C22:C23"/>
    <mergeCell ref="E22:E23"/>
    <mergeCell ref="I22:I23"/>
    <mergeCell ref="J22:J23"/>
    <mergeCell ref="K22:L22"/>
    <mergeCell ref="M22:M23"/>
    <mergeCell ref="O22:O23"/>
    <mergeCell ref="P22:P23"/>
    <mergeCell ref="M20:M21"/>
    <mergeCell ref="K20:L20"/>
    <mergeCell ref="K21:L21"/>
    <mergeCell ref="L14:N15"/>
    <mergeCell ref="L17:N18"/>
    <mergeCell ref="F21:G21"/>
    <mergeCell ref="H14:J14"/>
    <mergeCell ref="H15:J15"/>
    <mergeCell ref="H17:J17"/>
    <mergeCell ref="H18:J18"/>
    <mergeCell ref="J20:J21"/>
    <mergeCell ref="C20:C21"/>
    <mergeCell ref="E20:E21"/>
    <mergeCell ref="I20:I21"/>
    <mergeCell ref="K14:K15"/>
    <mergeCell ref="K17:K18"/>
    <mergeCell ref="C9:D9"/>
    <mergeCell ref="C11:D11"/>
    <mergeCell ref="B13:B17"/>
    <mergeCell ref="G14:G15"/>
    <mergeCell ref="G17:G18"/>
    <mergeCell ref="E10:F10"/>
  </mergeCells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/>
  <dimension ref="A1:P47"/>
  <sheetViews>
    <sheetView workbookViewId="0">
      <selection activeCell="L7" sqref="L7"/>
    </sheetView>
  </sheetViews>
  <sheetFormatPr defaultColWidth="20.09765625" defaultRowHeight="15" x14ac:dyDescent="0.25"/>
  <cols>
    <col min="1" max="1" width="3" style="54" customWidth="1"/>
    <col min="2" max="2" width="4.5" style="3" customWidth="1"/>
    <col min="3" max="3" width="8.59765625" style="3" customWidth="1"/>
    <col min="4" max="4" width="3.69921875" style="3" customWidth="1"/>
    <col min="5" max="5" width="11" style="3" customWidth="1"/>
    <col min="6" max="6" width="8.3984375" style="3" customWidth="1"/>
    <col min="7" max="8" width="17.59765625" style="3" customWidth="1"/>
    <col min="9" max="9" width="6.69921875" style="3" customWidth="1"/>
    <col min="10" max="10" width="9.5" style="3" customWidth="1"/>
    <col min="11" max="14" width="20.09765625" style="54"/>
    <col min="15" max="16" width="20.09765625" style="68"/>
    <col min="17" max="16384" width="20.09765625" style="3"/>
  </cols>
  <sheetData>
    <row r="1" spans="1:16" s="54" customFormat="1" ht="18" customHeight="1" thickBot="1" x14ac:dyDescent="0.3"/>
    <row r="2" spans="1:16" ht="47.25" customHeight="1" x14ac:dyDescent="0.25">
      <c r="B2" s="2191" t="s">
        <v>1</v>
      </c>
      <c r="C2" s="2192"/>
      <c r="D2" s="2192"/>
      <c r="E2" s="2192"/>
      <c r="F2" s="2192"/>
      <c r="G2" s="2192"/>
      <c r="H2" s="2192"/>
      <c r="I2" s="70"/>
      <c r="J2" s="71"/>
    </row>
    <row r="3" spans="1:16" ht="30.75" customHeight="1" thickBot="1" x14ac:dyDescent="0.3">
      <c r="B3" s="2193" t="s">
        <v>5</v>
      </c>
      <c r="C3" s="2194"/>
      <c r="D3" s="2194"/>
      <c r="E3" s="2194"/>
      <c r="F3" s="2194"/>
      <c r="G3" s="2194"/>
      <c r="H3" s="2194"/>
      <c r="I3" s="11"/>
      <c r="J3" s="72"/>
    </row>
    <row r="4" spans="1:16" s="57" customFormat="1" ht="14.25" customHeight="1" x14ac:dyDescent="0.25">
      <c r="A4" s="325"/>
      <c r="B4" s="326" t="s">
        <v>6</v>
      </c>
      <c r="C4" s="73"/>
      <c r="D4" s="73"/>
      <c r="E4" s="73"/>
      <c r="F4" s="73"/>
      <c r="G4" s="73"/>
      <c r="H4" s="73"/>
      <c r="I4" s="73"/>
      <c r="J4" s="74"/>
      <c r="K4" s="325"/>
      <c r="L4" s="325"/>
      <c r="M4" s="325"/>
      <c r="N4" s="325"/>
      <c r="O4" s="69"/>
      <c r="P4" s="69"/>
    </row>
    <row r="5" spans="1:16" ht="14.25" customHeight="1" thickBot="1" x14ac:dyDescent="0.3">
      <c r="B5" s="75" t="s">
        <v>8</v>
      </c>
      <c r="C5" s="11"/>
      <c r="D5" s="11"/>
      <c r="E5" s="10" t="s">
        <v>4</v>
      </c>
      <c r="F5" s="11"/>
      <c r="G5" s="11"/>
      <c r="H5" s="11"/>
      <c r="I5" s="11"/>
      <c r="J5" s="72"/>
    </row>
    <row r="6" spans="1:16" ht="14.25" customHeight="1" thickBot="1" x14ac:dyDescent="0.3">
      <c r="B6" s="4" t="s">
        <v>7</v>
      </c>
      <c r="C6" s="5">
        <f>nucaExluir!A2/100</f>
        <v>0.09</v>
      </c>
      <c r="D6" s="11" t="s">
        <v>3</v>
      </c>
      <c r="E6" s="677"/>
      <c r="F6" s="76" t="str">
        <f>IF(E6="","",IF(E6=nucaExluir!A2/100," Certo","Reveja os seus cálculos."))</f>
        <v/>
      </c>
      <c r="G6" s="9" t="s">
        <v>15</v>
      </c>
      <c r="H6" s="2189" t="s">
        <v>175</v>
      </c>
      <c r="I6" s="2190"/>
      <c r="J6" s="72"/>
    </row>
    <row r="7" spans="1:16" ht="14.25" customHeight="1" thickBot="1" x14ac:dyDescent="0.3">
      <c r="B7" s="4" t="s">
        <v>9</v>
      </c>
      <c r="C7" s="5">
        <f>nucaExluir!A3/100</f>
        <v>0.19</v>
      </c>
      <c r="D7" s="11" t="s">
        <v>3</v>
      </c>
      <c r="E7" s="677"/>
      <c r="F7" s="76" t="str">
        <f>IF(E7="","",IF(E7=nucaExluir!A3/100," Certo","Reveja os seus cálculos."))</f>
        <v/>
      </c>
      <c r="G7" s="9" t="s">
        <v>15</v>
      </c>
      <c r="H7" s="2189"/>
      <c r="I7" s="2190"/>
      <c r="J7" s="72"/>
    </row>
    <row r="8" spans="1:16" ht="14.25" customHeight="1" thickBot="1" x14ac:dyDescent="0.3">
      <c r="B8" s="4" t="s">
        <v>10</v>
      </c>
      <c r="C8" s="6" t="str">
        <f>CONCATENATE(nucaExluir!A4,"%")</f>
        <v>9,8%</v>
      </c>
      <c r="D8" s="11" t="s">
        <v>3</v>
      </c>
      <c r="E8" s="677"/>
      <c r="F8" s="76" t="str">
        <f>IF(E8="","",IF(E8=nucaExluir!A4/100," Certo","Reveja os seus cálculos."))</f>
        <v/>
      </c>
      <c r="G8" s="9" t="s">
        <v>15</v>
      </c>
      <c r="H8" s="2189"/>
      <c r="I8" s="2190"/>
      <c r="J8" s="72"/>
    </row>
    <row r="9" spans="1:16" ht="14.25" customHeight="1" thickBot="1" x14ac:dyDescent="0.3">
      <c r="B9" s="4" t="s">
        <v>12</v>
      </c>
      <c r="C9" s="6" t="str">
        <f>CONCATENATE(nucaExluir!A5,"%")</f>
        <v>0,45%</v>
      </c>
      <c r="D9" s="11" t="s">
        <v>3</v>
      </c>
      <c r="E9" s="677"/>
      <c r="F9" s="76" t="str">
        <f>IF(E9="","",IF(E9=nucaExluir!A5/100," Certo","Reveja os seus cálculos."))</f>
        <v/>
      </c>
      <c r="G9" s="9" t="s">
        <v>15</v>
      </c>
      <c r="H9" s="2189"/>
      <c r="I9" s="2190"/>
      <c r="J9" s="72"/>
    </row>
    <row r="10" spans="1:16" ht="6" customHeight="1" thickBot="1" x14ac:dyDescent="0.3">
      <c r="B10" s="77"/>
      <c r="C10" s="11"/>
      <c r="D10" s="11"/>
      <c r="E10" s="11"/>
      <c r="F10" s="11"/>
      <c r="G10" s="11"/>
      <c r="H10" s="11"/>
      <c r="I10" s="11"/>
      <c r="J10" s="72"/>
    </row>
    <row r="11" spans="1:16" ht="31.5" customHeight="1" thickBot="1" x14ac:dyDescent="0.3">
      <c r="B11" s="2195" t="s">
        <v>11</v>
      </c>
      <c r="C11" s="2196"/>
      <c r="D11" s="2196"/>
      <c r="E11" s="2196"/>
      <c r="F11" s="2196"/>
      <c r="G11" s="2196"/>
      <c r="H11" s="2197"/>
      <c r="I11" s="11"/>
      <c r="J11" s="72"/>
    </row>
    <row r="12" spans="1:16" s="57" customFormat="1" ht="29.25" customHeight="1" x14ac:dyDescent="0.3">
      <c r="A12" s="325"/>
      <c r="B12" s="2187" t="s">
        <v>14</v>
      </c>
      <c r="C12" s="2188"/>
      <c r="D12" s="2188"/>
      <c r="E12" s="2188"/>
      <c r="F12" s="2188"/>
      <c r="G12" s="2188"/>
      <c r="H12" s="2188"/>
      <c r="I12" s="2188"/>
      <c r="J12" s="74"/>
      <c r="K12" s="325"/>
      <c r="L12" s="325"/>
      <c r="M12" s="325"/>
      <c r="N12" s="325"/>
      <c r="O12" s="69"/>
      <c r="P12" s="69"/>
    </row>
    <row r="13" spans="1:16" ht="13.5" customHeight="1" thickBot="1" x14ac:dyDescent="0.3">
      <c r="B13" s="2185" t="s">
        <v>4</v>
      </c>
      <c r="C13" s="2186"/>
      <c r="D13" s="11"/>
      <c r="E13" s="78" t="s">
        <v>2</v>
      </c>
      <c r="F13" s="11"/>
      <c r="G13" s="11"/>
      <c r="H13" s="11"/>
      <c r="I13" s="11"/>
      <c r="J13" s="72"/>
    </row>
    <row r="14" spans="1:16" ht="13.5" customHeight="1" thickBot="1" x14ac:dyDescent="0.3">
      <c r="B14" s="79" t="s">
        <v>7</v>
      </c>
      <c r="C14" s="7">
        <f>nucaExluir!A6</f>
        <v>0.14000000000000001</v>
      </c>
      <c r="D14" s="10" t="s">
        <v>3</v>
      </c>
      <c r="E14" s="677"/>
      <c r="F14" s="7" t="s">
        <v>13</v>
      </c>
      <c r="G14" s="76" t="str">
        <f>IF(E14="","",IF(E14=nucaExluir!A6*100," Certo","Reveja os seus cálculos."))</f>
        <v/>
      </c>
      <c r="H14" s="9" t="s">
        <v>15</v>
      </c>
      <c r="I14" s="2183" t="s">
        <v>176</v>
      </c>
      <c r="J14" s="2184"/>
    </row>
    <row r="15" spans="1:16" ht="13.5" customHeight="1" thickBot="1" x14ac:dyDescent="0.3">
      <c r="B15" s="79" t="s">
        <v>9</v>
      </c>
      <c r="C15" s="7">
        <f>nucaExluir!A7</f>
        <v>0.24</v>
      </c>
      <c r="D15" s="10" t="s">
        <v>3</v>
      </c>
      <c r="E15" s="677"/>
      <c r="F15" s="8" t="s">
        <v>13</v>
      </c>
      <c r="G15" s="76" t="str">
        <f>IF(E15="","",IF(E15=nucaExluir!A7*100," Certo","Reveja os seus cálculos."))</f>
        <v/>
      </c>
      <c r="H15" s="9" t="s">
        <v>15</v>
      </c>
      <c r="I15" s="2183"/>
      <c r="J15" s="2184"/>
    </row>
    <row r="16" spans="1:16" ht="13.5" customHeight="1" thickBot="1" x14ac:dyDescent="0.3">
      <c r="B16" s="79" t="s">
        <v>10</v>
      </c>
      <c r="C16" s="7">
        <f>nucaExluir!A8</f>
        <v>0.14800000000000002</v>
      </c>
      <c r="D16" s="10" t="s">
        <v>3</v>
      </c>
      <c r="E16" s="677"/>
      <c r="F16" s="8" t="s">
        <v>13</v>
      </c>
      <c r="G16" s="76" t="str">
        <f>IF(E16="","",IF(E16=nucaExluir!A8*100," Certo","Reveja os seus cálculos."))</f>
        <v/>
      </c>
      <c r="H16" s="9" t="s">
        <v>15</v>
      </c>
      <c r="I16" s="2183"/>
      <c r="J16" s="2184"/>
    </row>
    <row r="17" spans="2:16" ht="13.5" customHeight="1" thickBot="1" x14ac:dyDescent="0.3">
      <c r="B17" s="80" t="s">
        <v>12</v>
      </c>
      <c r="C17" s="81">
        <f>nucaExluir!A9</f>
        <v>5.45E-2</v>
      </c>
      <c r="D17" s="82" t="s">
        <v>3</v>
      </c>
      <c r="E17" s="677"/>
      <c r="F17" s="83" t="s">
        <v>13</v>
      </c>
      <c r="G17" s="84" t="str">
        <f>IF(E17="","",IF(E17=nucaExluir!A9*100," Certo","Reveja os seus cálculos."))</f>
        <v/>
      </c>
      <c r="H17" s="9" t="s">
        <v>15</v>
      </c>
      <c r="I17" s="2183"/>
      <c r="J17" s="2184"/>
    </row>
    <row r="18" spans="2:16" s="54" customFormat="1" ht="13.5" customHeight="1" x14ac:dyDescent="0.25">
      <c r="B18" s="56"/>
    </row>
    <row r="19" spans="2:16" s="54" customFormat="1" ht="13.5" customHeight="1" x14ac:dyDescent="0.25"/>
    <row r="20" spans="2:16" s="54" customFormat="1" ht="13.5" customHeight="1" x14ac:dyDescent="0.25"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</row>
    <row r="21" spans="2:16" s="54" customFormat="1" ht="13.5" customHeight="1" x14ac:dyDescent="0.25"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</row>
    <row r="22" spans="2:16" s="54" customFormat="1" ht="13.5" customHeight="1" x14ac:dyDescent="0.25"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</row>
    <row r="23" spans="2:16" s="54" customFormat="1" ht="13.5" customHeight="1" x14ac:dyDescent="0.25"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</row>
    <row r="24" spans="2:16" s="54" customFormat="1" ht="13.5" customHeight="1" x14ac:dyDescent="0.25"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</row>
    <row r="25" spans="2:16" s="54" customFormat="1" ht="13.5" customHeight="1" x14ac:dyDescent="0.25"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</row>
    <row r="26" spans="2:16" s="54" customFormat="1" ht="13.5" customHeight="1" x14ac:dyDescent="0.25"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</row>
    <row r="27" spans="2:16" s="54" customFormat="1" ht="13.5" customHeight="1" x14ac:dyDescent="0.25"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</row>
    <row r="28" spans="2:16" s="54" customFormat="1" ht="13.5" customHeight="1" x14ac:dyDescent="0.25"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</row>
    <row r="29" spans="2:16" s="54" customFormat="1" x14ac:dyDescent="0.25"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</row>
    <row r="30" spans="2:16" s="54" customFormat="1" x14ac:dyDescent="0.25"/>
    <row r="31" spans="2:16" s="54" customFormat="1" x14ac:dyDescent="0.25"/>
    <row r="32" spans="2:16" s="54" customFormat="1" x14ac:dyDescent="0.25"/>
    <row r="33" spans="2:10" s="54" customFormat="1" x14ac:dyDescent="0.25"/>
    <row r="34" spans="2:10" s="54" customFormat="1" x14ac:dyDescent="0.25"/>
    <row r="35" spans="2:10" s="54" customFormat="1" x14ac:dyDescent="0.25"/>
    <row r="36" spans="2:10" s="54" customFormat="1" x14ac:dyDescent="0.25"/>
    <row r="37" spans="2:10" x14ac:dyDescent="0.25">
      <c r="B37" s="68"/>
      <c r="C37" s="68"/>
      <c r="D37" s="68"/>
      <c r="E37" s="68"/>
      <c r="F37" s="68"/>
      <c r="G37" s="68"/>
      <c r="H37" s="68"/>
      <c r="I37" s="68"/>
      <c r="J37" s="68"/>
    </row>
    <row r="38" spans="2:10" x14ac:dyDescent="0.25">
      <c r="B38" s="68"/>
      <c r="C38" s="68"/>
      <c r="D38" s="68"/>
      <c r="E38" s="68"/>
      <c r="F38" s="68"/>
      <c r="G38" s="68"/>
      <c r="H38" s="68"/>
      <c r="I38" s="68"/>
      <c r="J38" s="68"/>
    </row>
    <row r="39" spans="2:10" x14ac:dyDescent="0.25">
      <c r="B39" s="68"/>
      <c r="C39" s="68"/>
      <c r="D39" s="68"/>
      <c r="E39" s="68"/>
      <c r="F39" s="68"/>
      <c r="G39" s="68"/>
      <c r="H39" s="68"/>
      <c r="I39" s="68"/>
      <c r="J39" s="68"/>
    </row>
    <row r="40" spans="2:10" x14ac:dyDescent="0.25">
      <c r="B40" s="68"/>
      <c r="C40" s="68"/>
      <c r="D40" s="68"/>
      <c r="E40" s="68"/>
      <c r="F40" s="68"/>
      <c r="G40" s="68"/>
      <c r="H40" s="68"/>
      <c r="I40" s="68"/>
      <c r="J40" s="68"/>
    </row>
    <row r="41" spans="2:10" x14ac:dyDescent="0.25">
      <c r="B41" s="68"/>
      <c r="C41" s="68"/>
      <c r="D41" s="68"/>
      <c r="E41" s="68"/>
      <c r="F41" s="68"/>
      <c r="G41" s="68"/>
      <c r="H41" s="68"/>
      <c r="I41" s="68"/>
      <c r="J41" s="68"/>
    </row>
    <row r="46" spans="2:10" x14ac:dyDescent="0.25">
      <c r="B46" s="2" t="s">
        <v>0</v>
      </c>
    </row>
    <row r="47" spans="2:10" x14ac:dyDescent="0.25">
      <c r="B47" s="2"/>
    </row>
  </sheetData>
  <mergeCells count="13">
    <mergeCell ref="B12:I12"/>
    <mergeCell ref="H6:I6"/>
    <mergeCell ref="B2:H2"/>
    <mergeCell ref="B3:H3"/>
    <mergeCell ref="B11:H11"/>
    <mergeCell ref="H7:I7"/>
    <mergeCell ref="H8:I8"/>
    <mergeCell ref="H9:I9"/>
    <mergeCell ref="I14:J14"/>
    <mergeCell ref="I15:J15"/>
    <mergeCell ref="I16:J16"/>
    <mergeCell ref="I17:J17"/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/>
  <dimension ref="A1:W55"/>
  <sheetViews>
    <sheetView workbookViewId="0">
      <selection activeCell="C2" sqref="C2"/>
    </sheetView>
  </sheetViews>
  <sheetFormatPr defaultColWidth="20.09765625" defaultRowHeight="15" x14ac:dyDescent="0.25"/>
  <cols>
    <col min="1" max="1" width="3.09765625" style="65" customWidth="1"/>
    <col min="2" max="2" width="3.19921875" style="59" customWidth="1"/>
    <col min="3" max="3" width="6.19921875" style="3" customWidth="1"/>
    <col min="4" max="4" width="10" style="3" customWidth="1"/>
    <col min="5" max="5" width="6.5" style="3" customWidth="1"/>
    <col min="6" max="6" width="6.59765625" style="3" customWidth="1"/>
    <col min="7" max="7" width="5.5" style="3" customWidth="1"/>
    <col min="8" max="8" width="11.09765625" style="3" customWidth="1"/>
    <col min="9" max="9" width="6.8984375" style="3" customWidth="1"/>
    <col min="10" max="10" width="8.19921875" style="3" customWidth="1"/>
    <col min="11" max="11" width="6.3984375" style="3" customWidth="1"/>
    <col min="12" max="12" width="4.69921875" style="3" customWidth="1"/>
    <col min="13" max="13" width="3.8984375" style="3" customWidth="1"/>
    <col min="14" max="14" width="6.5" style="3" customWidth="1"/>
    <col min="15" max="15" width="4.09765625" style="54" customWidth="1"/>
    <col min="16" max="17" width="20.09765625" style="54"/>
    <col min="18" max="18" width="30" style="54" customWidth="1"/>
    <col min="19" max="22" width="20.09765625" style="59"/>
    <col min="23" max="16384" width="20.09765625" style="3"/>
  </cols>
  <sheetData>
    <row r="1" spans="1:23" s="65" customFormat="1" ht="15.75" customHeight="1" thickBot="1" x14ac:dyDescent="0.3">
      <c r="G1" s="682" t="s">
        <v>217</v>
      </c>
      <c r="I1" s="682" t="s">
        <v>218</v>
      </c>
      <c r="J1" s="682"/>
      <c r="K1" s="682"/>
      <c r="L1" s="682"/>
      <c r="M1" s="682"/>
      <c r="N1" s="682"/>
      <c r="O1" s="682"/>
      <c r="P1" s="682"/>
    </row>
    <row r="2" spans="1:23" s="58" customFormat="1" ht="15" customHeight="1" thickBot="1" x14ac:dyDescent="0.3">
      <c r="A2" s="65"/>
      <c r="B2" s="3"/>
      <c r="C2" s="47" t="s">
        <v>24</v>
      </c>
      <c r="D2" s="47"/>
      <c r="E2" s="47"/>
      <c r="F2" s="47"/>
      <c r="G2" s="47"/>
      <c r="H2" s="47"/>
      <c r="I2" s="693">
        <v>5000</v>
      </c>
      <c r="J2" s="47" t="s">
        <v>26</v>
      </c>
      <c r="K2" s="3"/>
      <c r="L2" s="3"/>
      <c r="M2" s="3"/>
      <c r="N2" s="3"/>
      <c r="O2" s="65"/>
      <c r="P2" s="65"/>
      <c r="Q2" s="65"/>
      <c r="R2" s="65"/>
    </row>
    <row r="3" spans="1:23" ht="18" customHeight="1" thickBot="1" x14ac:dyDescent="0.3">
      <c r="B3" s="47"/>
      <c r="C3" s="47" t="s">
        <v>31</v>
      </c>
      <c r="D3" s="47"/>
      <c r="E3" s="47"/>
      <c r="F3" s="692">
        <v>30</v>
      </c>
      <c r="G3" s="47" t="s">
        <v>25</v>
      </c>
      <c r="H3" s="47"/>
      <c r="I3" s="47"/>
      <c r="J3" s="47"/>
      <c r="K3" s="47"/>
      <c r="L3" s="12"/>
      <c r="M3" s="12"/>
      <c r="N3" s="12"/>
      <c r="W3" s="41"/>
    </row>
    <row r="4" spans="1:23" ht="14.25" customHeight="1" thickBot="1" x14ac:dyDescent="0.3">
      <c r="B4" s="3"/>
      <c r="C4" s="53"/>
      <c r="D4" s="43" t="s">
        <v>17</v>
      </c>
      <c r="E4" s="44" t="s">
        <v>19</v>
      </c>
      <c r="F4" s="45" t="s">
        <v>21</v>
      </c>
      <c r="G4" s="45" t="s">
        <v>3</v>
      </c>
      <c r="H4" s="46" t="s">
        <v>18</v>
      </c>
      <c r="I4" s="11"/>
      <c r="J4" s="13"/>
      <c r="K4" s="11"/>
      <c r="L4" s="11"/>
      <c r="M4" s="11"/>
      <c r="N4" s="11"/>
      <c r="W4" s="41"/>
    </row>
    <row r="5" spans="1:23" ht="15.75" customHeight="1" x14ac:dyDescent="0.25">
      <c r="B5" s="3"/>
      <c r="C5" s="49" t="s">
        <v>13</v>
      </c>
      <c r="D5" s="21">
        <v>100</v>
      </c>
      <c r="E5" s="15"/>
      <c r="F5" s="22">
        <f>F3</f>
        <v>30</v>
      </c>
      <c r="G5" s="15"/>
      <c r="H5" s="24">
        <f>D5+F5</f>
        <v>130</v>
      </c>
      <c r="I5" s="13"/>
      <c r="J5" s="13"/>
      <c r="K5" s="11"/>
      <c r="L5" s="11"/>
      <c r="M5" s="11"/>
      <c r="N5" s="11"/>
      <c r="W5" s="41"/>
    </row>
    <row r="6" spans="1:23" ht="17.25" customHeight="1" x14ac:dyDescent="0.25">
      <c r="B6" s="3"/>
      <c r="C6" s="49" t="s">
        <v>20</v>
      </c>
      <c r="D6" s="30">
        <f>I2</f>
        <v>5000</v>
      </c>
      <c r="E6" s="20"/>
      <c r="F6" s="23"/>
      <c r="G6" s="20"/>
      <c r="H6" s="31" t="s">
        <v>22</v>
      </c>
      <c r="I6" s="13"/>
      <c r="J6" s="13"/>
      <c r="K6" s="11"/>
      <c r="L6" s="11"/>
      <c r="M6" s="11"/>
      <c r="N6" s="11"/>
      <c r="W6" s="41"/>
    </row>
    <row r="7" spans="1:23" ht="9" customHeight="1" x14ac:dyDescent="0.25">
      <c r="B7" s="3"/>
      <c r="C7" s="13"/>
      <c r="D7" s="26"/>
      <c r="E7" s="14"/>
      <c r="F7" s="27"/>
      <c r="G7" s="14"/>
      <c r="H7" s="28"/>
      <c r="I7" s="13"/>
      <c r="J7" s="13"/>
      <c r="K7" s="11"/>
      <c r="L7" s="11"/>
      <c r="M7" s="11"/>
      <c r="N7" s="11"/>
      <c r="W7" s="41"/>
    </row>
    <row r="8" spans="1:23" ht="17.25" customHeight="1" x14ac:dyDescent="0.25">
      <c r="B8" s="3"/>
      <c r="C8" s="49"/>
      <c r="D8" s="50" t="s">
        <v>17</v>
      </c>
      <c r="E8" s="51"/>
      <c r="F8" s="52" t="s">
        <v>18</v>
      </c>
      <c r="G8" s="14"/>
      <c r="H8" s="28"/>
      <c r="I8" s="13"/>
      <c r="J8" s="13"/>
      <c r="K8" s="11"/>
      <c r="L8" s="11"/>
      <c r="M8" s="11"/>
      <c r="N8" s="11"/>
      <c r="W8" s="41"/>
    </row>
    <row r="9" spans="1:23" ht="18" customHeight="1" x14ac:dyDescent="0.25">
      <c r="B9" s="3"/>
      <c r="C9" s="49" t="s">
        <v>13</v>
      </c>
      <c r="D9" s="21">
        <f>D5</f>
        <v>100</v>
      </c>
      <c r="E9" s="13"/>
      <c r="F9" s="24">
        <f>H5</f>
        <v>130</v>
      </c>
      <c r="G9" s="13"/>
      <c r="H9" s="13"/>
      <c r="I9" s="13"/>
      <c r="J9" s="13"/>
      <c r="K9" s="11"/>
      <c r="L9" s="11"/>
      <c r="M9" s="11"/>
      <c r="N9" s="11"/>
      <c r="W9" s="41"/>
    </row>
    <row r="10" spans="1:23" ht="18.75" customHeight="1" x14ac:dyDescent="0.25">
      <c r="B10" s="3"/>
      <c r="C10" s="48" t="s">
        <v>20</v>
      </c>
      <c r="D10" s="30">
        <f>D6</f>
        <v>5000</v>
      </c>
      <c r="E10" s="12"/>
      <c r="F10" s="31" t="s">
        <v>22</v>
      </c>
      <c r="G10" s="12"/>
      <c r="H10" s="12"/>
      <c r="I10" s="12"/>
      <c r="J10" s="12"/>
      <c r="K10" s="11"/>
      <c r="L10" s="11"/>
      <c r="M10" s="11"/>
      <c r="N10" s="11"/>
      <c r="W10" s="41"/>
    </row>
    <row r="11" spans="1:23" s="13" customFormat="1" ht="11.25" customHeight="1" x14ac:dyDescent="0.25">
      <c r="A11" s="65"/>
      <c r="O11" s="322"/>
      <c r="P11" s="322"/>
      <c r="Q11" s="322"/>
      <c r="R11" s="322"/>
      <c r="S11" s="60"/>
      <c r="T11" s="60"/>
      <c r="U11" s="60"/>
      <c r="V11" s="60"/>
      <c r="W11" s="42"/>
    </row>
    <row r="12" spans="1:23" s="13" customFormat="1" ht="15.75" customHeight="1" x14ac:dyDescent="0.35">
      <c r="A12" s="65"/>
      <c r="C12" s="29">
        <f>D9</f>
        <v>100</v>
      </c>
      <c r="D12" s="34" t="str">
        <f>F10</f>
        <v>x</v>
      </c>
      <c r="E12" s="14" t="s">
        <v>3</v>
      </c>
      <c r="F12" s="33">
        <f>D6</f>
        <v>5000</v>
      </c>
      <c r="G12" s="32" t="s">
        <v>23</v>
      </c>
      <c r="H12" s="24">
        <f>H5</f>
        <v>130</v>
      </c>
      <c r="O12" s="322"/>
      <c r="P12" s="322"/>
      <c r="Q12" s="322"/>
      <c r="R12" s="322"/>
      <c r="S12" s="60"/>
      <c r="T12" s="60"/>
      <c r="U12" s="60"/>
      <c r="V12" s="60"/>
      <c r="W12" s="42"/>
    </row>
    <row r="13" spans="1:23" s="13" customFormat="1" ht="9.75" customHeight="1" x14ac:dyDescent="0.25">
      <c r="A13" s="65"/>
      <c r="O13" s="322"/>
      <c r="P13" s="322"/>
      <c r="Q13" s="322"/>
      <c r="R13" s="322"/>
      <c r="S13" s="60"/>
      <c r="T13" s="60"/>
      <c r="U13" s="60"/>
      <c r="V13" s="60"/>
      <c r="W13" s="42"/>
    </row>
    <row r="14" spans="1:23" s="13" customFormat="1" ht="13.5" customHeight="1" x14ac:dyDescent="0.25">
      <c r="A14" s="65"/>
      <c r="C14" s="2198" t="str">
        <f>CONCATENATE(D5,H6," = ",D6*H5)</f>
        <v>100x = 650000</v>
      </c>
      <c r="D14" s="2198"/>
      <c r="E14" s="2198"/>
      <c r="F14" s="2198"/>
      <c r="G14" s="2198"/>
      <c r="H14" s="2198"/>
      <c r="O14" s="322"/>
      <c r="P14" s="322"/>
      <c r="Q14" s="322"/>
      <c r="R14" s="322"/>
      <c r="S14" s="60"/>
      <c r="T14" s="60"/>
      <c r="U14" s="60"/>
      <c r="V14" s="60"/>
      <c r="W14" s="42"/>
    </row>
    <row r="15" spans="1:23" s="13" customFormat="1" ht="17.25" customHeight="1" x14ac:dyDescent="0.25">
      <c r="A15" s="65"/>
      <c r="C15" s="2198" t="str">
        <f>CONCATENATE(H6," = ",D6*H5,"/",D5)</f>
        <v>x = 650000/100</v>
      </c>
      <c r="D15" s="2198"/>
      <c r="E15" s="2198"/>
      <c r="F15" s="2198"/>
      <c r="G15" s="2198"/>
      <c r="H15" s="2198"/>
      <c r="O15" s="322"/>
      <c r="P15" s="322"/>
      <c r="Q15" s="322"/>
      <c r="R15" s="322"/>
      <c r="S15" s="60"/>
      <c r="T15" s="60"/>
      <c r="U15" s="60"/>
      <c r="V15" s="60"/>
      <c r="W15" s="42"/>
    </row>
    <row r="16" spans="1:23" s="13" customFormat="1" ht="12.75" customHeight="1" x14ac:dyDescent="0.25">
      <c r="A16" s="65"/>
      <c r="C16" s="2198" t="str">
        <f>CONCATENATE(H6," = ",ROUND(D6*H5/D5,2))</f>
        <v>x = 6500</v>
      </c>
      <c r="D16" s="2198"/>
      <c r="E16" s="2198"/>
      <c r="F16" s="2198"/>
      <c r="G16" s="2198"/>
      <c r="H16" s="2198"/>
      <c r="O16" s="322"/>
      <c r="P16" s="322"/>
      <c r="Q16" s="322"/>
      <c r="R16" s="322"/>
      <c r="S16" s="60"/>
      <c r="T16" s="60"/>
      <c r="U16" s="60"/>
      <c r="V16" s="60"/>
      <c r="W16" s="42"/>
    </row>
    <row r="17" spans="1:23" s="13" customFormat="1" ht="3" customHeight="1" x14ac:dyDescent="0.25">
      <c r="A17" s="65"/>
      <c r="O17" s="322"/>
      <c r="P17" s="322"/>
      <c r="Q17" s="322"/>
      <c r="R17" s="322"/>
      <c r="S17" s="60"/>
      <c r="T17" s="60"/>
      <c r="U17" s="60"/>
      <c r="V17" s="60"/>
      <c r="W17" s="42"/>
    </row>
    <row r="18" spans="1:23" s="13" customFormat="1" ht="14.25" customHeight="1" x14ac:dyDescent="0.25">
      <c r="A18" s="65"/>
      <c r="C18" s="2199" t="str">
        <f xml:space="preserve"> CONCATENATE("O preço de venda é  R$ ",D6*H5/D5,". Este valor representa ",100+F5,"% do custo.")</f>
        <v>O preço de venda é  R$ 6500. Este valor representa 130% do custo.</v>
      </c>
      <c r="D18" s="2199"/>
      <c r="E18" s="2199"/>
      <c r="F18" s="2199"/>
      <c r="G18" s="2199"/>
      <c r="H18" s="2199"/>
      <c r="I18" s="2199"/>
      <c r="J18" s="2199"/>
      <c r="K18" s="2199"/>
      <c r="L18" s="2199"/>
      <c r="M18" s="2199"/>
      <c r="N18" s="2199"/>
      <c r="O18" s="322"/>
      <c r="P18" s="322"/>
      <c r="Q18" s="322"/>
      <c r="R18" s="322"/>
      <c r="S18" s="60"/>
      <c r="T18" s="60"/>
      <c r="U18" s="60"/>
      <c r="V18" s="60"/>
      <c r="W18" s="42"/>
    </row>
    <row r="19" spans="1:23" s="13" customFormat="1" ht="21.75" customHeight="1" x14ac:dyDescent="0.25">
      <c r="A19" s="65"/>
      <c r="C19" s="2199"/>
      <c r="D19" s="2199"/>
      <c r="E19" s="2199"/>
      <c r="F19" s="2199"/>
      <c r="G19" s="2199"/>
      <c r="H19" s="2199"/>
      <c r="I19" s="2199"/>
      <c r="J19" s="2199"/>
      <c r="K19" s="2199"/>
      <c r="L19" s="2199"/>
      <c r="M19" s="2199"/>
      <c r="N19" s="2199"/>
      <c r="O19" s="322"/>
      <c r="P19" s="322"/>
      <c r="Q19" s="322"/>
      <c r="R19" s="322"/>
      <c r="S19" s="60"/>
      <c r="T19" s="60"/>
      <c r="U19" s="60"/>
      <c r="V19" s="60"/>
      <c r="W19" s="42"/>
    </row>
    <row r="20" spans="1:23" s="13" customFormat="1" ht="27" customHeight="1" x14ac:dyDescent="0.25">
      <c r="A20" s="65"/>
      <c r="O20" s="322"/>
      <c r="P20" s="322"/>
      <c r="Q20" s="322"/>
      <c r="R20" s="322"/>
      <c r="S20" s="60"/>
      <c r="T20" s="60"/>
      <c r="U20" s="60"/>
      <c r="V20" s="60"/>
      <c r="W20" s="42"/>
    </row>
    <row r="21" spans="1:23" s="55" customFormat="1" x14ac:dyDescent="0.25">
      <c r="A21" s="65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23" s="55" customFormat="1" x14ac:dyDescent="0.25">
      <c r="A22" s="65"/>
      <c r="O22" s="322"/>
      <c r="P22" s="322"/>
      <c r="Q22" s="322"/>
      <c r="R22" s="322"/>
      <c r="S22" s="322"/>
      <c r="T22" s="322"/>
      <c r="U22" s="322"/>
      <c r="V22" s="322"/>
      <c r="W22" s="322"/>
    </row>
    <row r="23" spans="1:23" s="55" customFormat="1" x14ac:dyDescent="0.25">
      <c r="A23" s="65"/>
      <c r="O23" s="322"/>
      <c r="P23" s="322"/>
      <c r="Q23" s="322"/>
      <c r="R23" s="322"/>
      <c r="S23" s="322"/>
      <c r="T23" s="322"/>
      <c r="U23" s="322"/>
      <c r="V23" s="322"/>
      <c r="W23" s="322"/>
    </row>
    <row r="24" spans="1:23" s="55" customFormat="1" x14ac:dyDescent="0.25">
      <c r="A24" s="65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23" s="55" customFormat="1" x14ac:dyDescent="0.25">
      <c r="A25" s="65"/>
      <c r="O25" s="322"/>
      <c r="P25" s="322"/>
      <c r="Q25" s="322"/>
      <c r="R25" s="322"/>
      <c r="S25" s="322"/>
      <c r="T25" s="322"/>
      <c r="U25" s="322"/>
      <c r="V25" s="322"/>
      <c r="W25" s="322"/>
    </row>
    <row r="26" spans="1:23" s="55" customFormat="1" x14ac:dyDescent="0.25">
      <c r="A26" s="65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1:23" s="55" customFormat="1" x14ac:dyDescent="0.25">
      <c r="A27" s="65"/>
      <c r="O27" s="322"/>
      <c r="P27" s="322"/>
      <c r="Q27" s="322"/>
      <c r="R27" s="322"/>
      <c r="S27" s="322"/>
      <c r="T27" s="322"/>
      <c r="U27" s="322"/>
      <c r="V27" s="322"/>
      <c r="W27" s="322"/>
    </row>
    <row r="28" spans="1:23" s="54" customFormat="1" x14ac:dyDescent="0.25">
      <c r="A28" s="65"/>
    </row>
    <row r="29" spans="1:23" s="54" customFormat="1" x14ac:dyDescent="0.25">
      <c r="A29" s="65"/>
    </row>
    <row r="30" spans="1:23" s="54" customFormat="1" x14ac:dyDescent="0.25">
      <c r="A30" s="65"/>
    </row>
    <row r="31" spans="1:23" s="54" customFormat="1" x14ac:dyDescent="0.25">
      <c r="A31" s="65"/>
    </row>
    <row r="32" spans="1:23" s="54" customFormat="1" x14ac:dyDescent="0.25">
      <c r="A32" s="65"/>
    </row>
    <row r="33" spans="1:23" x14ac:dyDescent="0.25">
      <c r="A33" s="54"/>
      <c r="B33" s="3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W33" s="41"/>
    </row>
    <row r="34" spans="1:23" x14ac:dyDescent="0.25">
      <c r="A34" s="54"/>
      <c r="B34" s="3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W34" s="41"/>
    </row>
    <row r="35" spans="1:23" x14ac:dyDescent="0.25">
      <c r="A35" s="54"/>
      <c r="B35" s="3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W35" s="41"/>
    </row>
    <row r="36" spans="1:23" x14ac:dyDescent="0.25">
      <c r="A36" s="54"/>
      <c r="B36" s="3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W36" s="41"/>
    </row>
    <row r="37" spans="1:23" x14ac:dyDescent="0.25">
      <c r="A37" s="54"/>
      <c r="B37" s="3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W37" s="41"/>
    </row>
    <row r="38" spans="1:23" x14ac:dyDescent="0.25">
      <c r="A38" s="54"/>
      <c r="B38" s="3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W38" s="41"/>
    </row>
    <row r="39" spans="1:23" x14ac:dyDescent="0.25">
      <c r="A39" s="54"/>
      <c r="B39" s="3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W39" s="41"/>
    </row>
    <row r="40" spans="1:23" x14ac:dyDescent="0.25">
      <c r="A40" s="54"/>
      <c r="B40" s="3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W40" s="41"/>
    </row>
    <row r="41" spans="1:23" x14ac:dyDescent="0.25">
      <c r="A41" s="54"/>
      <c r="B41" s="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W41" s="41"/>
    </row>
    <row r="42" spans="1:23" x14ac:dyDescent="0.25">
      <c r="A42" s="54"/>
      <c r="B42" s="3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W42" s="41"/>
    </row>
    <row r="43" spans="1:23" x14ac:dyDescent="0.25">
      <c r="A43" s="54"/>
      <c r="B43" s="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W43" s="41"/>
    </row>
    <row r="44" spans="1:23" x14ac:dyDescent="0.25">
      <c r="A44" s="54"/>
      <c r="B44" s="3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W44" s="41"/>
    </row>
    <row r="45" spans="1:23" x14ac:dyDescent="0.25">
      <c r="A45" s="54"/>
      <c r="B45" s="3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W45" s="41"/>
    </row>
    <row r="46" spans="1:23" x14ac:dyDescent="0.25">
      <c r="A46" s="54"/>
      <c r="B46" s="3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W46" s="41"/>
    </row>
    <row r="47" spans="1:23" x14ac:dyDescent="0.25">
      <c r="A47" s="54"/>
      <c r="B47" s="3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W47" s="41"/>
    </row>
    <row r="48" spans="1:23" x14ac:dyDescent="0.25">
      <c r="A48" s="54"/>
      <c r="B48" s="3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W48" s="41"/>
    </row>
    <row r="49" spans="1:23" x14ac:dyDescent="0.25">
      <c r="A49" s="54"/>
      <c r="B49" s="3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W49" s="41"/>
    </row>
    <row r="50" spans="1:23" x14ac:dyDescent="0.25">
      <c r="A50" s="54"/>
      <c r="B50" s="3"/>
      <c r="W50" s="41"/>
    </row>
    <row r="51" spans="1:23" x14ac:dyDescent="0.25">
      <c r="A51" s="54"/>
      <c r="B51" s="3"/>
      <c r="W51" s="41"/>
    </row>
    <row r="54" spans="1:23" x14ac:dyDescent="0.25">
      <c r="A54" s="54"/>
      <c r="B54" s="3"/>
      <c r="C54" s="2" t="s">
        <v>0</v>
      </c>
    </row>
    <row r="55" spans="1:23" x14ac:dyDescent="0.25">
      <c r="A55" s="54"/>
      <c r="B55" s="3"/>
      <c r="C55" s="2"/>
    </row>
  </sheetData>
  <mergeCells count="4">
    <mergeCell ref="C14:H14"/>
    <mergeCell ref="C15:H15"/>
    <mergeCell ref="C16:H16"/>
    <mergeCell ref="C18:N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/>
  <dimension ref="A1:W55"/>
  <sheetViews>
    <sheetView workbookViewId="0">
      <selection activeCell="F1" sqref="F1"/>
    </sheetView>
  </sheetViews>
  <sheetFormatPr defaultColWidth="20.09765625" defaultRowHeight="15" x14ac:dyDescent="0.25"/>
  <cols>
    <col min="1" max="1" width="3.3984375" style="3" customWidth="1"/>
    <col min="2" max="2" width="4" style="54" customWidth="1"/>
    <col min="3" max="3" width="9.09765625" style="3" customWidth="1"/>
    <col min="4" max="4" width="7.69921875" style="3" customWidth="1"/>
    <col min="5" max="5" width="5.69921875" style="3" customWidth="1"/>
    <col min="6" max="6" width="7.19921875" style="3" customWidth="1"/>
    <col min="7" max="7" width="2.5" style="3" customWidth="1"/>
    <col min="8" max="8" width="7.59765625" style="3" customWidth="1"/>
    <col min="9" max="9" width="6.3984375" style="3" customWidth="1"/>
    <col min="10" max="14" width="7.19921875" style="3" customWidth="1"/>
    <col min="15" max="15" width="4.09765625" style="54" customWidth="1"/>
    <col min="16" max="19" width="20.09765625" style="54"/>
    <col min="20" max="16384" width="20.09765625" style="3"/>
  </cols>
  <sheetData>
    <row r="1" spans="1:23" s="54" customFormat="1" ht="15.6" thickBot="1" x14ac:dyDescent="0.3">
      <c r="F1" s="682" t="s">
        <v>217</v>
      </c>
    </row>
    <row r="2" spans="1:23" s="58" customFormat="1" ht="15" customHeight="1" thickBot="1" x14ac:dyDescent="0.3">
      <c r="A2" s="54"/>
      <c r="B2" s="3"/>
      <c r="C2" s="47" t="s">
        <v>24</v>
      </c>
      <c r="D2" s="47"/>
      <c r="E2" s="47"/>
      <c r="F2" s="47"/>
      <c r="G2" s="47"/>
      <c r="H2" s="47"/>
      <c r="I2" s="63">
        <v>5000</v>
      </c>
      <c r="J2" s="47" t="s">
        <v>26</v>
      </c>
      <c r="K2" s="3"/>
      <c r="L2" s="3"/>
      <c r="M2" s="3"/>
      <c r="N2" s="3"/>
      <c r="O2" s="65"/>
      <c r="P2" s="65"/>
      <c r="Q2" s="65"/>
      <c r="R2" s="65"/>
      <c r="S2" s="65"/>
      <c r="T2" s="65"/>
      <c r="U2" s="65"/>
      <c r="V2" s="65"/>
      <c r="W2" s="65"/>
    </row>
    <row r="3" spans="1:23" ht="18" customHeight="1" thickBot="1" x14ac:dyDescent="0.3">
      <c r="A3" s="54"/>
      <c r="B3" s="47"/>
      <c r="C3" s="47" t="s">
        <v>27</v>
      </c>
      <c r="D3" s="47"/>
      <c r="E3" s="47"/>
      <c r="F3" s="64">
        <v>30</v>
      </c>
      <c r="G3" s="47" t="s">
        <v>28</v>
      </c>
      <c r="H3" s="47"/>
      <c r="I3" s="47"/>
      <c r="J3" s="47"/>
      <c r="K3" s="47"/>
      <c r="L3" s="12"/>
      <c r="M3" s="12"/>
      <c r="N3" s="12"/>
      <c r="T3" s="54"/>
      <c r="U3" s="54"/>
      <c r="V3" s="54"/>
      <c r="W3" s="54"/>
    </row>
    <row r="4" spans="1:23" ht="22.5" customHeight="1" thickBot="1" x14ac:dyDescent="0.3">
      <c r="A4" s="54"/>
      <c r="B4" s="3"/>
      <c r="C4" s="13"/>
      <c r="D4" s="19" t="s">
        <v>17</v>
      </c>
      <c r="E4" s="16" t="s">
        <v>19</v>
      </c>
      <c r="F4" s="18" t="s">
        <v>21</v>
      </c>
      <c r="G4" s="17" t="s">
        <v>3</v>
      </c>
      <c r="H4" s="19" t="s">
        <v>18</v>
      </c>
      <c r="J4" s="13"/>
    </row>
    <row r="5" spans="1:23" ht="15.75" customHeight="1" x14ac:dyDescent="0.25">
      <c r="A5" s="54"/>
      <c r="B5" s="3"/>
      <c r="C5" s="61" t="s">
        <v>13</v>
      </c>
      <c r="D5" s="24">
        <f>H5-F5</f>
        <v>70</v>
      </c>
      <c r="E5" s="15"/>
      <c r="F5" s="22">
        <f>F3</f>
        <v>30</v>
      </c>
      <c r="G5" s="15"/>
      <c r="H5" s="35">
        <v>100</v>
      </c>
      <c r="I5" s="13"/>
      <c r="J5" s="13"/>
    </row>
    <row r="6" spans="1:23" ht="17.25" customHeight="1" thickBot="1" x14ac:dyDescent="0.3">
      <c r="A6" s="54"/>
      <c r="B6" s="3"/>
      <c r="C6" s="62" t="s">
        <v>20</v>
      </c>
      <c r="D6" s="25">
        <f>I2</f>
        <v>5000</v>
      </c>
      <c r="E6" s="20"/>
      <c r="F6" s="23"/>
      <c r="G6" s="20"/>
      <c r="H6" s="36" t="s">
        <v>22</v>
      </c>
      <c r="I6" s="13"/>
      <c r="J6" s="13"/>
    </row>
    <row r="7" spans="1:23" ht="12" customHeight="1" thickBot="1" x14ac:dyDescent="0.3">
      <c r="A7" s="54"/>
      <c r="B7" s="3"/>
      <c r="C7" s="13"/>
      <c r="D7" s="26"/>
      <c r="E7" s="14"/>
      <c r="F7" s="27"/>
      <c r="G7" s="14"/>
      <c r="H7" s="28"/>
      <c r="I7" s="13"/>
      <c r="J7" s="13"/>
    </row>
    <row r="8" spans="1:23" ht="17.25" customHeight="1" thickBot="1" x14ac:dyDescent="0.3">
      <c r="A8" s="54"/>
      <c r="B8" s="3"/>
      <c r="C8" s="13"/>
      <c r="D8" s="46" t="s">
        <v>17</v>
      </c>
      <c r="E8" s="14"/>
      <c r="F8" s="37" t="s">
        <v>18</v>
      </c>
      <c r="G8" s="14"/>
      <c r="H8" s="28"/>
      <c r="I8" s="13"/>
      <c r="J8" s="13"/>
    </row>
    <row r="9" spans="1:23" ht="18" customHeight="1" x14ac:dyDescent="0.25">
      <c r="A9" s="54"/>
      <c r="B9" s="3"/>
      <c r="C9" s="61" t="s">
        <v>13</v>
      </c>
      <c r="D9" s="24">
        <f>D5</f>
        <v>70</v>
      </c>
      <c r="E9" s="13"/>
      <c r="F9" s="35">
        <f>H5</f>
        <v>100</v>
      </c>
      <c r="G9" s="13"/>
      <c r="H9" s="13"/>
      <c r="I9" s="13"/>
      <c r="J9" s="13"/>
      <c r="K9" s="11"/>
    </row>
    <row r="10" spans="1:23" ht="16.5" customHeight="1" thickBot="1" x14ac:dyDescent="0.3">
      <c r="A10" s="54"/>
      <c r="B10" s="3"/>
      <c r="C10" s="62" t="s">
        <v>20</v>
      </c>
      <c r="D10" s="25">
        <f>D6</f>
        <v>5000</v>
      </c>
      <c r="E10" s="12"/>
      <c r="F10" s="36" t="s">
        <v>22</v>
      </c>
      <c r="G10" s="12"/>
      <c r="H10" s="12"/>
      <c r="I10" s="12"/>
      <c r="J10" s="12"/>
    </row>
    <row r="11" spans="1:23" s="13" customFormat="1" ht="10.5" customHeight="1" x14ac:dyDescent="0.3">
      <c r="A11" s="55"/>
      <c r="O11" s="55"/>
      <c r="P11" s="55"/>
      <c r="Q11" s="55"/>
      <c r="R11" s="55"/>
      <c r="S11" s="55"/>
    </row>
    <row r="12" spans="1:23" s="13" customFormat="1" ht="18" x14ac:dyDescent="0.35">
      <c r="A12" s="55"/>
      <c r="C12" s="38">
        <f>D9</f>
        <v>70</v>
      </c>
      <c r="D12" s="39" t="str">
        <f>F10</f>
        <v>x</v>
      </c>
      <c r="E12" s="14" t="s">
        <v>3</v>
      </c>
      <c r="F12" s="40">
        <f>D6</f>
        <v>5000</v>
      </c>
      <c r="G12" s="32" t="s">
        <v>23</v>
      </c>
      <c r="H12" s="35">
        <f>H5</f>
        <v>100</v>
      </c>
      <c r="O12" s="55"/>
      <c r="P12" s="55"/>
      <c r="Q12" s="55"/>
      <c r="R12" s="55"/>
      <c r="S12" s="55"/>
    </row>
    <row r="13" spans="1:23" s="13" customFormat="1" ht="9.75" customHeight="1" x14ac:dyDescent="0.3">
      <c r="A13" s="55"/>
      <c r="O13" s="55"/>
      <c r="P13" s="55"/>
      <c r="Q13" s="55"/>
      <c r="R13" s="55"/>
      <c r="S13" s="55"/>
    </row>
    <row r="14" spans="1:23" s="13" customFormat="1" ht="18" customHeight="1" x14ac:dyDescent="0.3">
      <c r="A14" s="55"/>
      <c r="C14" s="2198" t="str">
        <f>CONCATENATE(D5,H6," = ",D6*H5)</f>
        <v>70x = 500000</v>
      </c>
      <c r="D14" s="2198"/>
      <c r="E14" s="2198"/>
      <c r="F14" s="2198"/>
      <c r="G14" s="2198"/>
      <c r="H14" s="2198"/>
      <c r="O14" s="55"/>
      <c r="P14" s="55"/>
      <c r="Q14" s="55"/>
      <c r="R14" s="55"/>
      <c r="S14" s="55"/>
    </row>
    <row r="15" spans="1:23" s="13" customFormat="1" ht="17.25" customHeight="1" x14ac:dyDescent="0.3">
      <c r="A15" s="55"/>
      <c r="C15" s="2198" t="str">
        <f>CONCATENATE(H6," = ",D6*H5,"/",D5)</f>
        <v>x = 500000/70</v>
      </c>
      <c r="D15" s="2198"/>
      <c r="E15" s="2198"/>
      <c r="F15" s="2198"/>
      <c r="G15" s="2198"/>
      <c r="H15" s="2198"/>
      <c r="O15" s="55"/>
      <c r="P15" s="55"/>
      <c r="Q15" s="55"/>
      <c r="R15" s="55"/>
      <c r="S15" s="55"/>
    </row>
    <row r="16" spans="1:23" s="13" customFormat="1" ht="15" customHeight="1" x14ac:dyDescent="0.3">
      <c r="A16" s="55"/>
      <c r="C16" s="2198" t="str">
        <f>CONCATENATE(H6," = ",ROUND(D6*H5/D5,2))</f>
        <v>x = 7142,86</v>
      </c>
      <c r="D16" s="2198"/>
      <c r="E16" s="2198"/>
      <c r="F16" s="2198"/>
      <c r="G16" s="2198"/>
      <c r="H16" s="2198"/>
      <c r="O16" s="55"/>
      <c r="P16" s="55"/>
      <c r="Q16" s="55"/>
      <c r="R16" s="55"/>
      <c r="S16" s="55"/>
    </row>
    <row r="17" spans="1:19" s="13" customFormat="1" x14ac:dyDescent="0.3">
      <c r="A17" s="55"/>
      <c r="O17" s="55"/>
      <c r="P17" s="55"/>
      <c r="Q17" s="55"/>
      <c r="R17" s="55"/>
      <c r="S17" s="55"/>
    </row>
    <row r="18" spans="1:19" s="13" customFormat="1" ht="14.25" customHeight="1" x14ac:dyDescent="0.3">
      <c r="A18" s="55"/>
      <c r="C18" s="2200" t="str">
        <f xml:space="preserve"> CONCATENATE("O preço de venda é  R$ ",ROUND(D6*H5/D5,2),", e  deste valor,  ", F5,"% é  lucro.")</f>
        <v>O preço de venda é  R$ 7142,86, e  deste valor,  30% é  lucro.</v>
      </c>
      <c r="D18" s="2200"/>
      <c r="E18" s="2200"/>
      <c r="F18" s="2200"/>
      <c r="G18" s="2200"/>
      <c r="H18" s="2200"/>
      <c r="I18" s="2200"/>
      <c r="J18" s="2200"/>
      <c r="K18" s="2200"/>
      <c r="L18" s="2200"/>
      <c r="M18" s="2200"/>
      <c r="O18" s="55"/>
      <c r="P18" s="55"/>
      <c r="Q18" s="55"/>
      <c r="R18" s="55"/>
      <c r="S18" s="55"/>
    </row>
    <row r="19" spans="1:19" s="13" customFormat="1" ht="18" customHeight="1" x14ac:dyDescent="0.3">
      <c r="A19" s="55"/>
      <c r="O19" s="55"/>
      <c r="P19" s="55"/>
      <c r="Q19" s="55"/>
      <c r="R19" s="55"/>
      <c r="S19" s="55"/>
    </row>
    <row r="20" spans="1:19" s="55" customFormat="1" ht="15" customHeight="1" x14ac:dyDescent="0.3"/>
    <row r="21" spans="1:19" s="55" customFormat="1" x14ac:dyDescent="0.3"/>
    <row r="22" spans="1:19" s="55" customFormat="1" x14ac:dyDescent="0.3"/>
    <row r="23" spans="1:19" s="55" customFormat="1" x14ac:dyDescent="0.3"/>
    <row r="24" spans="1:19" s="55" customFormat="1" x14ac:dyDescent="0.3"/>
    <row r="25" spans="1:19" s="55" customFormat="1" x14ac:dyDescent="0.3"/>
    <row r="26" spans="1:19" s="55" customFormat="1" x14ac:dyDescent="0.3"/>
    <row r="27" spans="1:19" s="55" customFormat="1" x14ac:dyDescent="0.3"/>
    <row r="28" spans="1:19" s="54" customFormat="1" x14ac:dyDescent="0.25"/>
    <row r="29" spans="1:19" s="54" customFormat="1" x14ac:dyDescent="0.25"/>
    <row r="30" spans="1:19" s="54" customFormat="1" x14ac:dyDescent="0.25"/>
    <row r="31" spans="1:19" s="54" customFormat="1" x14ac:dyDescent="0.25"/>
    <row r="32" spans="1:19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pans="3:3" s="54" customFormat="1" x14ac:dyDescent="0.25"/>
    <row r="50" spans="3:3" s="54" customFormat="1" x14ac:dyDescent="0.25"/>
    <row r="51" spans="3:3" s="54" customFormat="1" x14ac:dyDescent="0.25"/>
    <row r="52" spans="3:3" s="54" customFormat="1" x14ac:dyDescent="0.25"/>
    <row r="53" spans="3:3" s="54" customFormat="1" x14ac:dyDescent="0.25"/>
    <row r="54" spans="3:3" s="54" customFormat="1" x14ac:dyDescent="0.25">
      <c r="C54" s="56" t="s">
        <v>0</v>
      </c>
    </row>
    <row r="55" spans="3:3" s="3" customFormat="1" x14ac:dyDescent="0.25">
      <c r="C55" s="2"/>
    </row>
  </sheetData>
  <mergeCells count="4">
    <mergeCell ref="C14:H14"/>
    <mergeCell ref="C15:H15"/>
    <mergeCell ref="C16:H16"/>
    <mergeCell ref="C18:M1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D123"/>
  <sheetViews>
    <sheetView workbookViewId="0">
      <selection activeCell="Q10" sqref="Q10"/>
    </sheetView>
  </sheetViews>
  <sheetFormatPr defaultColWidth="9" defaultRowHeight="15.6" x14ac:dyDescent="0.3"/>
  <cols>
    <col min="1" max="1" width="2.8984375" style="828" customWidth="1"/>
    <col min="2" max="2" width="2.59765625" style="824" customWidth="1"/>
    <col min="3" max="5" width="5.59765625" style="828" customWidth="1"/>
    <col min="6" max="7" width="9" style="828"/>
    <col min="8" max="8" width="6.19921875" style="828" customWidth="1"/>
    <col min="9" max="9" width="6.09765625" style="828" customWidth="1"/>
    <col min="10" max="10" width="5.59765625" style="828" hidden="1" customWidth="1"/>
    <col min="11" max="11" width="12.19921875" style="828" customWidth="1"/>
    <col min="12" max="12" width="9" style="828"/>
    <col min="13" max="13" width="5.69921875" style="828" customWidth="1"/>
    <col min="14" max="14" width="8.69921875" style="828" customWidth="1"/>
    <col min="15" max="16" width="7.3984375" style="828" customWidth="1"/>
    <col min="17" max="17" width="8" style="828" customWidth="1"/>
    <col min="18" max="18" width="2.69921875" style="828" customWidth="1"/>
    <col min="19" max="16384" width="9" style="828"/>
  </cols>
  <sheetData>
    <row r="1" spans="1:30" x14ac:dyDescent="0.3">
      <c r="B1" s="828"/>
    </row>
    <row r="2" spans="1:30" s="1362" customFormat="1" ht="21.75" customHeight="1" x14ac:dyDescent="0.4">
      <c r="A2" s="709"/>
      <c r="C2" s="768" t="str">
        <f>Inicio!J6</f>
        <v>Estudante</v>
      </c>
      <c r="D2" s="768"/>
      <c r="E2" s="769"/>
      <c r="F2" s="768" t="s">
        <v>256</v>
      </c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71"/>
      <c r="T2" s="771"/>
      <c r="U2" s="771"/>
      <c r="V2" s="709"/>
      <c r="W2" s="709"/>
      <c r="X2" s="709"/>
      <c r="Y2" s="709"/>
      <c r="Z2" s="709"/>
      <c r="AA2" s="709"/>
      <c r="AB2" s="709"/>
      <c r="AC2" s="709"/>
      <c r="AD2" s="709"/>
    </row>
    <row r="3" spans="1:30" x14ac:dyDescent="0.3">
      <c r="R3" s="826"/>
    </row>
    <row r="4" spans="1:30" x14ac:dyDescent="0.3">
      <c r="R4" s="826"/>
    </row>
    <row r="5" spans="1:30" x14ac:dyDescent="0.3">
      <c r="Q5" s="829"/>
      <c r="R5" s="826"/>
    </row>
    <row r="6" spans="1:30" x14ac:dyDescent="0.3">
      <c r="Q6" s="829"/>
      <c r="R6" s="826"/>
    </row>
    <row r="7" spans="1:30" x14ac:dyDescent="0.3">
      <c r="Q7" s="829"/>
      <c r="R7" s="826"/>
    </row>
    <row r="8" spans="1:30" ht="16.2" thickBot="1" x14ac:dyDescent="0.35">
      <c r="L8" s="828" t="s">
        <v>313</v>
      </c>
      <c r="N8" s="828" t="s">
        <v>312</v>
      </c>
      <c r="Q8" s="829"/>
      <c r="R8" s="826"/>
    </row>
    <row r="9" spans="1:30" ht="16.2" thickBot="1" x14ac:dyDescent="0.35">
      <c r="I9" s="858"/>
      <c r="J9" s="858"/>
      <c r="K9" s="858" t="s">
        <v>307</v>
      </c>
      <c r="L9" s="1106">
        <f>L12/3</f>
        <v>3.1999999999999997</v>
      </c>
      <c r="M9" s="1107" t="s">
        <v>264</v>
      </c>
      <c r="N9" s="1108">
        <f>L9/100</f>
        <v>3.2000000000000001E-2</v>
      </c>
      <c r="O9" s="877" t="s">
        <v>265</v>
      </c>
      <c r="P9" s="877"/>
      <c r="Q9" s="833"/>
      <c r="R9" s="826"/>
    </row>
    <row r="10" spans="1:30" ht="16.2" thickBot="1" x14ac:dyDescent="0.35">
      <c r="K10" s="828" t="s">
        <v>309</v>
      </c>
      <c r="L10" s="834">
        <f>L12*3</f>
        <v>28.799999999999997</v>
      </c>
      <c r="M10" s="828" t="s">
        <v>264</v>
      </c>
      <c r="N10" s="831">
        <f t="shared" ref="N10:N12" si="0">L10/100</f>
        <v>0.28799999999999998</v>
      </c>
      <c r="O10" s="832" t="s">
        <v>265</v>
      </c>
      <c r="P10" s="832"/>
      <c r="Q10"/>
      <c r="R10" s="826"/>
    </row>
    <row r="11" spans="1:30" ht="16.2" thickBot="1" x14ac:dyDescent="0.35">
      <c r="I11" s="840"/>
      <c r="K11" s="828" t="s">
        <v>308</v>
      </c>
      <c r="L11" s="834">
        <f>L12*2</f>
        <v>19.2</v>
      </c>
      <c r="M11" s="828" t="s">
        <v>264</v>
      </c>
      <c r="N11" s="831">
        <f t="shared" si="0"/>
        <v>0.192</v>
      </c>
      <c r="O11" s="832" t="s">
        <v>265</v>
      </c>
      <c r="P11" s="832"/>
      <c r="Q11" s="829"/>
      <c r="R11" s="826"/>
    </row>
    <row r="12" spans="1:30" ht="16.2" thickBot="1" x14ac:dyDescent="0.35">
      <c r="K12" s="1" t="s">
        <v>456</v>
      </c>
      <c r="L12" s="834">
        <v>9.6</v>
      </c>
      <c r="M12" s="828" t="s">
        <v>264</v>
      </c>
      <c r="N12" s="831">
        <f t="shared" si="0"/>
        <v>9.6000000000000002E-2</v>
      </c>
      <c r="O12" s="832" t="s">
        <v>265</v>
      </c>
      <c r="P12" s="832"/>
      <c r="Q12" s="829"/>
      <c r="R12" s="826"/>
    </row>
    <row r="13" spans="1:30" x14ac:dyDescent="0.3">
      <c r="J13" s="1498" t="s">
        <v>455</v>
      </c>
      <c r="K13" s="1499"/>
      <c r="L13" s="823">
        <v>1706</v>
      </c>
      <c r="M13" s="828" t="s">
        <v>270</v>
      </c>
      <c r="N13" s="831">
        <f>L13</f>
        <v>1706</v>
      </c>
      <c r="O13" s="832" t="str">
        <f>M13</f>
        <v>kg/m³</v>
      </c>
      <c r="P13" s="832"/>
      <c r="Q13" s="829"/>
      <c r="R13" s="826"/>
    </row>
    <row r="14" spans="1:30" x14ac:dyDescent="0.3">
      <c r="J14" s="828" t="s">
        <v>304</v>
      </c>
      <c r="K14" s="1" t="s">
        <v>454</v>
      </c>
      <c r="L14" s="823">
        <v>1</v>
      </c>
      <c r="N14" s="836">
        <f>L14</f>
        <v>1</v>
      </c>
      <c r="O14" s="1" t="s">
        <v>319</v>
      </c>
      <c r="P14" s="1"/>
      <c r="R14" s="826"/>
    </row>
    <row r="15" spans="1:30" x14ac:dyDescent="0.3">
      <c r="C15" s="1111" t="s">
        <v>266</v>
      </c>
      <c r="D15" s="1111"/>
      <c r="E15" s="1111"/>
      <c r="F15" s="1111"/>
      <c r="G15" s="1111"/>
      <c r="H15" s="1113" t="str">
        <f>CONCATENATE(N10,"m x",N11,"m x",N12,"m     =  ")</f>
        <v xml:space="preserve">0,288m x0,192m x0,096m     =  </v>
      </c>
      <c r="I15" s="1113"/>
      <c r="J15" s="1113"/>
      <c r="K15" s="1113"/>
      <c r="L15" s="1115"/>
      <c r="M15" s="1513">
        <f>N10*N11*N12</f>
        <v>5.3084159999999998E-3</v>
      </c>
      <c r="N15" s="1513"/>
      <c r="O15" s="1111" t="s">
        <v>263</v>
      </c>
      <c r="P15" s="1111"/>
      <c r="Q15" s="1111"/>
      <c r="R15" s="826"/>
    </row>
    <row r="16" spans="1:30" ht="16.2" thickBot="1" x14ac:dyDescent="0.35">
      <c r="C16" s="1116" t="str">
        <f>CONCATENATE("2º Volume de ",L14,"milheiros=",L14*1000*M15)</f>
        <v>2º Volume de 1milheiros=5,308416</v>
      </c>
      <c r="D16" s="1116"/>
      <c r="E16" s="1116"/>
      <c r="F16" s="1116"/>
      <c r="G16" s="1116"/>
      <c r="H16" s="1117" t="str">
        <f>CONCATENATE(L14*1000,"x",N10,"m x",N11,"m x",N12,"m     =  ")</f>
        <v xml:space="preserve">1000x0,288m x0,192m x0,096m     =  </v>
      </c>
      <c r="I16" s="1117"/>
      <c r="J16" s="1117"/>
      <c r="K16" s="1117"/>
      <c r="L16" s="1118"/>
      <c r="M16" s="1514">
        <f>L14*1000*N10*N11*N12</f>
        <v>5.3084160000000002</v>
      </c>
      <c r="N16" s="1514"/>
      <c r="O16" s="1116" t="s">
        <v>263</v>
      </c>
      <c r="P16" s="1111" t="s">
        <v>412</v>
      </c>
      <c r="R16" s="826"/>
    </row>
    <row r="17" spans="2:18" ht="18" customHeight="1" x14ac:dyDescent="0.3">
      <c r="C17" s="1113" t="str">
        <f>CONCATENATE("3º  Volume de 4 cilindros: 4 x( 3,14x(",ROUND(N9,4),"/2)² x ",N12,") = ")</f>
        <v xml:space="preserve">3º  Volume de 4 cilindros: 4 x( 3,14x(0,032/2)² x 0,096) = </v>
      </c>
      <c r="D17" s="1113"/>
      <c r="E17" s="1113"/>
      <c r="F17" s="1113"/>
      <c r="G17" s="1113"/>
      <c r="H17" s="1113"/>
      <c r="I17" s="1113"/>
      <c r="J17" s="1113"/>
      <c r="K17" s="1113"/>
      <c r="L17" s="1113"/>
      <c r="M17" s="1501">
        <f>4*(3.14*(N9/2)^2*N12)</f>
        <v>3.0867456000000003E-4</v>
      </c>
      <c r="N17" s="1501"/>
      <c r="O17" s="1111" t="s">
        <v>263</v>
      </c>
      <c r="P17" s="1111"/>
      <c r="Q17" s="1450" t="s">
        <v>453</v>
      </c>
      <c r="R17" s="826"/>
    </row>
    <row r="18" spans="2:18" ht="21.75" customHeight="1" thickBot="1" x14ac:dyDescent="0.35">
      <c r="C18" s="1109" t="s">
        <v>314</v>
      </c>
      <c r="D18" s="1109"/>
      <c r="E18" s="1109"/>
      <c r="F18" s="1109"/>
      <c r="G18" s="1109"/>
      <c r="H18" s="1109"/>
      <c r="I18" s="1109"/>
      <c r="J18" s="1109"/>
      <c r="K18" s="1109"/>
      <c r="L18" s="1110"/>
      <c r="M18" s="1502">
        <f>M15-M17</f>
        <v>4.9997414400000002E-3</v>
      </c>
      <c r="N18" s="1502"/>
      <c r="O18" s="1111" t="s">
        <v>263</v>
      </c>
      <c r="P18" s="1111" t="s">
        <v>411</v>
      </c>
      <c r="Q18" s="1451">
        <f>M18*L14*1000</f>
        <v>4.9997414400000002</v>
      </c>
      <c r="R18" s="826"/>
    </row>
    <row r="19" spans="2:18" x14ac:dyDescent="0.3">
      <c r="C19" s="822" t="s">
        <v>315</v>
      </c>
      <c r="D19" s="846"/>
      <c r="E19" s="846"/>
      <c r="F19" s="846"/>
      <c r="G19" s="846"/>
      <c r="H19" s="846"/>
      <c r="I19" s="846"/>
      <c r="J19" s="846"/>
      <c r="K19" s="846"/>
      <c r="L19" s="846"/>
      <c r="M19" s="1503">
        <f>M18*L13*L14*1000</f>
        <v>8529.558896640001</v>
      </c>
      <c r="N19" s="1503"/>
      <c r="O19" s="847" t="s">
        <v>270</v>
      </c>
      <c r="P19" s="847"/>
      <c r="Q19" s="1449"/>
      <c r="R19" s="826"/>
    </row>
    <row r="20" spans="2:18" x14ac:dyDescent="0.3">
      <c r="M20" s="1511">
        <f>M19/1000</f>
        <v>8.5295588966400011</v>
      </c>
      <c r="N20" s="1512"/>
      <c r="O20" s="1" t="s">
        <v>316</v>
      </c>
      <c r="P20" s="1"/>
      <c r="R20" s="826"/>
    </row>
    <row r="21" spans="2:18" x14ac:dyDescent="0.3"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  <c r="R21" s="824"/>
    </row>
    <row r="22" spans="2:18" x14ac:dyDescent="0.3">
      <c r="B22" s="828"/>
      <c r="D22" s="1497"/>
      <c r="E22" s="1497"/>
      <c r="F22" s="1497"/>
      <c r="G22" s="1497"/>
    </row>
    <row r="23" spans="2:18" x14ac:dyDescent="0.3">
      <c r="B23" s="828"/>
    </row>
    <row r="24" spans="2:18" x14ac:dyDescent="0.3">
      <c r="B24" s="828"/>
    </row>
    <row r="25" spans="2:18" x14ac:dyDescent="0.3">
      <c r="B25" s="828"/>
    </row>
    <row r="26" spans="2:18" x14ac:dyDescent="0.3">
      <c r="B26" s="828"/>
    </row>
    <row r="27" spans="2:18" x14ac:dyDescent="0.3">
      <c r="B27" s="828"/>
    </row>
    <row r="28" spans="2:18" x14ac:dyDescent="0.3">
      <c r="B28" s="828"/>
    </row>
    <row r="29" spans="2:18" x14ac:dyDescent="0.3">
      <c r="B29" s="828"/>
    </row>
    <row r="30" spans="2:18" x14ac:dyDescent="0.3">
      <c r="B30" s="828"/>
    </row>
    <row r="31" spans="2:18" x14ac:dyDescent="0.3">
      <c r="B31" s="828"/>
    </row>
    <row r="32" spans="2:18" x14ac:dyDescent="0.3">
      <c r="B32" s="828"/>
    </row>
    <row r="33" spans="2:2" x14ac:dyDescent="0.3">
      <c r="B33" s="828"/>
    </row>
    <row r="34" spans="2:2" x14ac:dyDescent="0.3">
      <c r="B34" s="828"/>
    </row>
    <row r="35" spans="2:2" x14ac:dyDescent="0.3">
      <c r="B35" s="828"/>
    </row>
    <row r="36" spans="2:2" x14ac:dyDescent="0.3">
      <c r="B36" s="828"/>
    </row>
    <row r="37" spans="2:2" x14ac:dyDescent="0.3">
      <c r="B37" s="828"/>
    </row>
    <row r="38" spans="2:2" x14ac:dyDescent="0.3">
      <c r="B38" s="828"/>
    </row>
    <row r="39" spans="2:2" x14ac:dyDescent="0.3">
      <c r="B39" s="828"/>
    </row>
    <row r="40" spans="2:2" x14ac:dyDescent="0.3">
      <c r="B40" s="828"/>
    </row>
    <row r="41" spans="2:2" x14ac:dyDescent="0.3">
      <c r="B41" s="828"/>
    </row>
    <row r="42" spans="2:2" x14ac:dyDescent="0.3">
      <c r="B42" s="828"/>
    </row>
    <row r="43" spans="2:2" x14ac:dyDescent="0.3">
      <c r="B43" s="828"/>
    </row>
    <row r="44" spans="2:2" x14ac:dyDescent="0.3">
      <c r="B44" s="828"/>
    </row>
    <row r="45" spans="2:2" x14ac:dyDescent="0.3">
      <c r="B45" s="828"/>
    </row>
    <row r="46" spans="2:2" x14ac:dyDescent="0.3">
      <c r="B46" s="828"/>
    </row>
    <row r="47" spans="2:2" x14ac:dyDescent="0.3">
      <c r="B47" s="828"/>
    </row>
    <row r="48" spans="2:2" x14ac:dyDescent="0.3">
      <c r="B48" s="828"/>
    </row>
    <row r="49" spans="2:2" x14ac:dyDescent="0.3">
      <c r="B49" s="828"/>
    </row>
    <row r="50" spans="2:2" x14ac:dyDescent="0.3">
      <c r="B50" s="828"/>
    </row>
    <row r="51" spans="2:2" x14ac:dyDescent="0.3">
      <c r="B51" s="828"/>
    </row>
    <row r="52" spans="2:2" x14ac:dyDescent="0.3">
      <c r="B52" s="828"/>
    </row>
    <row r="53" spans="2:2" x14ac:dyDescent="0.3">
      <c r="B53" s="828"/>
    </row>
    <row r="54" spans="2:2" x14ac:dyDescent="0.3">
      <c r="B54" s="828"/>
    </row>
    <row r="55" spans="2:2" x14ac:dyDescent="0.3">
      <c r="B55" s="828"/>
    </row>
    <row r="56" spans="2:2" x14ac:dyDescent="0.3">
      <c r="B56" s="828"/>
    </row>
    <row r="57" spans="2:2" x14ac:dyDescent="0.3">
      <c r="B57" s="828"/>
    </row>
    <row r="58" spans="2:2" x14ac:dyDescent="0.3">
      <c r="B58" s="828"/>
    </row>
    <row r="59" spans="2:2" x14ac:dyDescent="0.3">
      <c r="B59" s="828"/>
    </row>
    <row r="60" spans="2:2" x14ac:dyDescent="0.3">
      <c r="B60" s="828"/>
    </row>
    <row r="61" spans="2:2" x14ac:dyDescent="0.3">
      <c r="B61" s="828"/>
    </row>
    <row r="62" spans="2:2" x14ac:dyDescent="0.3">
      <c r="B62" s="828"/>
    </row>
    <row r="63" spans="2:2" x14ac:dyDescent="0.3">
      <c r="B63" s="828"/>
    </row>
    <row r="64" spans="2:2" x14ac:dyDescent="0.3">
      <c r="B64" s="828"/>
    </row>
    <row r="65" spans="2:2" x14ac:dyDescent="0.3">
      <c r="B65" s="828"/>
    </row>
    <row r="66" spans="2:2" x14ac:dyDescent="0.3">
      <c r="B66" s="828"/>
    </row>
    <row r="67" spans="2:2" x14ac:dyDescent="0.3">
      <c r="B67" s="828"/>
    </row>
    <row r="68" spans="2:2" x14ac:dyDescent="0.3">
      <c r="B68" s="828"/>
    </row>
    <row r="69" spans="2:2" x14ac:dyDescent="0.3">
      <c r="B69" s="828"/>
    </row>
    <row r="70" spans="2:2" x14ac:dyDescent="0.3">
      <c r="B70" s="828"/>
    </row>
    <row r="71" spans="2:2" x14ac:dyDescent="0.3">
      <c r="B71" s="828"/>
    </row>
    <row r="72" spans="2:2" x14ac:dyDescent="0.3">
      <c r="B72" s="828"/>
    </row>
    <row r="73" spans="2:2" x14ac:dyDescent="0.3">
      <c r="B73" s="828"/>
    </row>
    <row r="74" spans="2:2" x14ac:dyDescent="0.3">
      <c r="B74" s="828"/>
    </row>
    <row r="75" spans="2:2" x14ac:dyDescent="0.3">
      <c r="B75" s="828"/>
    </row>
    <row r="76" spans="2:2" x14ac:dyDescent="0.3">
      <c r="B76" s="828"/>
    </row>
    <row r="77" spans="2:2" x14ac:dyDescent="0.3">
      <c r="B77" s="828"/>
    </row>
    <row r="78" spans="2:2" x14ac:dyDescent="0.3">
      <c r="B78" s="828"/>
    </row>
    <row r="79" spans="2:2" x14ac:dyDescent="0.3">
      <c r="B79" s="828"/>
    </row>
    <row r="80" spans="2:2" x14ac:dyDescent="0.3">
      <c r="B80" s="828"/>
    </row>
    <row r="81" spans="2:2" x14ac:dyDescent="0.3">
      <c r="B81" s="828"/>
    </row>
    <row r="82" spans="2:2" x14ac:dyDescent="0.3">
      <c r="B82" s="828"/>
    </row>
    <row r="83" spans="2:2" x14ac:dyDescent="0.3">
      <c r="B83" s="828"/>
    </row>
    <row r="84" spans="2:2" x14ac:dyDescent="0.3">
      <c r="B84" s="828"/>
    </row>
    <row r="85" spans="2:2" x14ac:dyDescent="0.3">
      <c r="B85" s="828"/>
    </row>
    <row r="86" spans="2:2" x14ac:dyDescent="0.3">
      <c r="B86" s="828"/>
    </row>
    <row r="87" spans="2:2" x14ac:dyDescent="0.3">
      <c r="B87" s="828"/>
    </row>
    <row r="88" spans="2:2" x14ac:dyDescent="0.3">
      <c r="B88" s="828"/>
    </row>
    <row r="89" spans="2:2" x14ac:dyDescent="0.3">
      <c r="B89" s="828"/>
    </row>
    <row r="90" spans="2:2" x14ac:dyDescent="0.3">
      <c r="B90" s="828"/>
    </row>
    <row r="91" spans="2:2" x14ac:dyDescent="0.3">
      <c r="B91" s="828"/>
    </row>
    <row r="92" spans="2:2" x14ac:dyDescent="0.3">
      <c r="B92" s="828"/>
    </row>
    <row r="93" spans="2:2" x14ac:dyDescent="0.3">
      <c r="B93" s="828"/>
    </row>
    <row r="94" spans="2:2" x14ac:dyDescent="0.3">
      <c r="B94" s="828"/>
    </row>
    <row r="95" spans="2:2" x14ac:dyDescent="0.3">
      <c r="B95" s="828"/>
    </row>
    <row r="96" spans="2:2" x14ac:dyDescent="0.3">
      <c r="B96" s="828"/>
    </row>
    <row r="97" spans="2:2" x14ac:dyDescent="0.3">
      <c r="B97" s="828"/>
    </row>
    <row r="98" spans="2:2" x14ac:dyDescent="0.3">
      <c r="B98" s="828"/>
    </row>
    <row r="99" spans="2:2" x14ac:dyDescent="0.3">
      <c r="B99" s="828"/>
    </row>
    <row r="100" spans="2:2" x14ac:dyDescent="0.3">
      <c r="B100" s="828"/>
    </row>
    <row r="101" spans="2:2" x14ac:dyDescent="0.3">
      <c r="B101" s="828"/>
    </row>
    <row r="102" spans="2:2" x14ac:dyDescent="0.3">
      <c r="B102" s="828"/>
    </row>
    <row r="103" spans="2:2" x14ac:dyDescent="0.3">
      <c r="B103" s="828"/>
    </row>
    <row r="104" spans="2:2" x14ac:dyDescent="0.3">
      <c r="B104" s="828"/>
    </row>
    <row r="105" spans="2:2" x14ac:dyDescent="0.3">
      <c r="B105" s="828"/>
    </row>
    <row r="106" spans="2:2" x14ac:dyDescent="0.3">
      <c r="B106" s="828"/>
    </row>
    <row r="107" spans="2:2" x14ac:dyDescent="0.3">
      <c r="B107" s="828"/>
    </row>
    <row r="108" spans="2:2" x14ac:dyDescent="0.3">
      <c r="B108" s="828"/>
    </row>
    <row r="109" spans="2:2" x14ac:dyDescent="0.3">
      <c r="B109" s="828"/>
    </row>
    <row r="110" spans="2:2" x14ac:dyDescent="0.3">
      <c r="B110" s="828"/>
    </row>
    <row r="111" spans="2:2" x14ac:dyDescent="0.3">
      <c r="B111" s="828"/>
    </row>
    <row r="112" spans="2:2" x14ac:dyDescent="0.3">
      <c r="B112" s="828"/>
    </row>
    <row r="113" spans="2:2" x14ac:dyDescent="0.3">
      <c r="B113" s="828"/>
    </row>
    <row r="114" spans="2:2" x14ac:dyDescent="0.3">
      <c r="B114" s="828"/>
    </row>
    <row r="115" spans="2:2" x14ac:dyDescent="0.3">
      <c r="B115" s="828"/>
    </row>
    <row r="116" spans="2:2" x14ac:dyDescent="0.3">
      <c r="B116" s="828"/>
    </row>
    <row r="117" spans="2:2" x14ac:dyDescent="0.3">
      <c r="B117" s="828"/>
    </row>
    <row r="118" spans="2:2" x14ac:dyDescent="0.3">
      <c r="B118" s="828"/>
    </row>
    <row r="119" spans="2:2" x14ac:dyDescent="0.3">
      <c r="B119" s="828"/>
    </row>
    <row r="120" spans="2:2" x14ac:dyDescent="0.3">
      <c r="B120" s="828"/>
    </row>
    <row r="121" spans="2:2" x14ac:dyDescent="0.3">
      <c r="B121" s="828"/>
    </row>
    <row r="122" spans="2:2" x14ac:dyDescent="0.3">
      <c r="B122" s="828"/>
    </row>
    <row r="123" spans="2:2" x14ac:dyDescent="0.3">
      <c r="B123" s="828"/>
    </row>
  </sheetData>
  <mergeCells count="8">
    <mergeCell ref="M20:N20"/>
    <mergeCell ref="D22:G22"/>
    <mergeCell ref="J13:K13"/>
    <mergeCell ref="M15:N15"/>
    <mergeCell ref="M16:N16"/>
    <mergeCell ref="M17:N17"/>
    <mergeCell ref="M18:N18"/>
    <mergeCell ref="M19:N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/>
  <dimension ref="B1:J11"/>
  <sheetViews>
    <sheetView workbookViewId="0">
      <selection activeCell="B4" sqref="B4:I4"/>
    </sheetView>
  </sheetViews>
  <sheetFormatPr defaultColWidth="9" defaultRowHeight="15" x14ac:dyDescent="0.25"/>
  <cols>
    <col min="1" max="1" width="2.8984375" style="54" customWidth="1"/>
    <col min="2" max="3" width="9" style="54"/>
    <col min="4" max="4" width="12.69921875" style="54" customWidth="1"/>
    <col min="5" max="5" width="9" style="54"/>
    <col min="6" max="6" width="20.5" style="54" customWidth="1"/>
    <col min="7" max="9" width="9" style="54"/>
    <col min="10" max="10" width="0.59765625" style="54" customWidth="1"/>
    <col min="11" max="16384" width="9" style="54"/>
  </cols>
  <sheetData>
    <row r="1" spans="2:10" ht="15.6" x14ac:dyDescent="0.3">
      <c r="E1" s="683" t="s">
        <v>205</v>
      </c>
    </row>
    <row r="2" spans="2:10" ht="15.75" customHeight="1" x14ac:dyDescent="0.25">
      <c r="B2" s="2202" t="str">
        <f>CONCATENATE("3) Certa mercadoria foi comprada por R$ ", nucaExluir!C3*100,",00   e vendida com um lucro de ", nucaExluir!C9," % sobre o preço de custo . Qual é o preço de venda? ")</f>
        <v xml:space="preserve">3) Certa mercadoria foi comprada por R$ 4500,00   e vendida com um lucro de 65 % sobre o preço de custo . Qual é o preço de venda? </v>
      </c>
      <c r="C2" s="2202"/>
      <c r="D2" s="2202"/>
      <c r="E2" s="2202"/>
      <c r="F2" s="2202"/>
      <c r="G2" s="2202"/>
      <c r="H2" s="2202"/>
      <c r="I2" s="2202"/>
      <c r="J2" s="676"/>
    </row>
    <row r="3" spans="2:10" ht="21" customHeight="1" thickBot="1" x14ac:dyDescent="0.3">
      <c r="B3" s="2202"/>
      <c r="C3" s="2202"/>
      <c r="D3" s="2202"/>
      <c r="E3" s="2202"/>
      <c r="F3" s="2202"/>
      <c r="G3" s="2202"/>
      <c r="H3" s="2202"/>
      <c r="I3" s="2202"/>
      <c r="J3" s="675"/>
    </row>
    <row r="4" spans="2:10" ht="15.6" thickBot="1" x14ac:dyDescent="0.3">
      <c r="B4" s="676" t="s">
        <v>204</v>
      </c>
      <c r="C4" s="676"/>
      <c r="D4" s="676"/>
      <c r="E4" s="680" t="s">
        <v>20</v>
      </c>
      <c r="F4" s="679"/>
      <c r="G4" s="676" t="str">
        <f>IF(F4="","",IF(ABS(F4-nucaExluir!C3*(1+nucaExluir!C9/100)*100)&lt;6,"Correto!","Refaça os cálculos!"))</f>
        <v/>
      </c>
      <c r="H4" s="676"/>
      <c r="I4" s="676"/>
      <c r="J4" s="676"/>
    </row>
    <row r="5" spans="2:10" ht="83.25" customHeight="1" x14ac:dyDescent="0.25">
      <c r="B5" s="2201"/>
      <c r="C5" s="2201"/>
      <c r="D5" s="2201"/>
      <c r="E5" s="2201"/>
      <c r="F5" s="2201"/>
      <c r="G5" s="2201"/>
      <c r="H5" s="2201"/>
      <c r="I5" s="2201"/>
      <c r="J5" s="681"/>
    </row>
    <row r="7" spans="2:10" ht="15.6" x14ac:dyDescent="0.3">
      <c r="E7" s="683" t="s">
        <v>206</v>
      </c>
    </row>
    <row r="8" spans="2:10" ht="15.75" customHeight="1" x14ac:dyDescent="0.25">
      <c r="B8" s="2202" t="str">
        <f>CONCATENATE("4) Certa mercadoria foi comprada por R$ ", nucaExluir!C3*100,",00   e vendida com um lucro de ", nucaExluir!C9," % sobre o preço de venda . Qual é o preço de venda? ")</f>
        <v xml:space="preserve">4) Certa mercadoria foi comprada por R$ 4500,00   e vendida com um lucro de 65 % sobre o preço de venda . Qual é o preço de venda? </v>
      </c>
      <c r="C8" s="2202"/>
      <c r="D8" s="2202"/>
      <c r="E8" s="2202"/>
      <c r="F8" s="2202"/>
      <c r="G8" s="2202"/>
      <c r="H8" s="2202"/>
      <c r="I8" s="2202"/>
      <c r="J8" s="676"/>
    </row>
    <row r="9" spans="2:10" ht="21" customHeight="1" thickBot="1" x14ac:dyDescent="0.3">
      <c r="B9" s="2202"/>
      <c r="C9" s="2202"/>
      <c r="D9" s="2202"/>
      <c r="E9" s="2202"/>
      <c r="F9" s="2202"/>
      <c r="G9" s="2202"/>
      <c r="H9" s="2202"/>
      <c r="I9" s="2202"/>
      <c r="J9" s="675"/>
    </row>
    <row r="10" spans="2:10" ht="15.6" thickBot="1" x14ac:dyDescent="0.3">
      <c r="B10" s="676" t="s">
        <v>204</v>
      </c>
      <c r="C10" s="676"/>
      <c r="D10" s="676"/>
      <c r="E10" s="680" t="s">
        <v>20</v>
      </c>
      <c r="F10" s="679"/>
      <c r="G10" s="676" t="str">
        <f>IF(F10="","",IF(ABS(F10-100*nucaExluir!C3*100/(100-nucaExluir!C9))&lt;6,"Correto!","Refaça os cálculos!"))</f>
        <v/>
      </c>
      <c r="H10" s="676"/>
      <c r="I10" s="676"/>
      <c r="J10" s="676"/>
    </row>
    <row r="11" spans="2:10" ht="103.5" customHeight="1" x14ac:dyDescent="0.25">
      <c r="B11" s="2201" t="s">
        <v>203</v>
      </c>
      <c r="C11" s="2201"/>
      <c r="D11" s="2201"/>
      <c r="E11" s="2201"/>
      <c r="F11" s="2201"/>
      <c r="G11" s="2201"/>
      <c r="H11" s="2201"/>
      <c r="I11" s="2201"/>
      <c r="J11" s="681"/>
    </row>
  </sheetData>
  <mergeCells count="4">
    <mergeCell ref="B5:I5"/>
    <mergeCell ref="B2:I3"/>
    <mergeCell ref="B8:I9"/>
    <mergeCell ref="B11:I11"/>
  </mergeCells>
  <pageMargins left="0.511811024" right="0.511811024" top="0.78740157499999996" bottom="0.78740157499999996" header="0.31496062000000002" footer="0.3149606200000000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/>
  <dimension ref="A1:W55"/>
  <sheetViews>
    <sheetView workbookViewId="0">
      <selection activeCell="F1" sqref="F1"/>
    </sheetView>
  </sheetViews>
  <sheetFormatPr defaultColWidth="20.09765625" defaultRowHeight="15" x14ac:dyDescent="0.25"/>
  <cols>
    <col min="1" max="1" width="4.5" style="65" customWidth="1"/>
    <col min="2" max="2" width="3.19921875" style="59" customWidth="1"/>
    <col min="3" max="3" width="6.19921875" style="3" customWidth="1"/>
    <col min="4" max="4" width="10" style="3" customWidth="1"/>
    <col min="5" max="5" width="9.8984375" style="3" customWidth="1"/>
    <col min="6" max="6" width="12.09765625" style="3" customWidth="1"/>
    <col min="7" max="7" width="5.5" style="3" customWidth="1"/>
    <col min="8" max="8" width="11.09765625" style="3" customWidth="1"/>
    <col min="9" max="9" width="6.8984375" style="3" customWidth="1"/>
    <col min="10" max="10" width="8.19921875" style="3" customWidth="1"/>
    <col min="11" max="11" width="6.3984375" style="3" customWidth="1"/>
    <col min="12" max="12" width="2" style="3" customWidth="1"/>
    <col min="13" max="13" width="2.19921875" style="3" customWidth="1"/>
    <col min="14" max="14" width="2.3984375" style="3" customWidth="1"/>
    <col min="15" max="15" width="4.09765625" style="54" customWidth="1"/>
    <col min="16" max="19" width="20.09765625" style="54"/>
    <col min="20" max="22" width="20.09765625" style="59"/>
    <col min="23" max="16384" width="20.09765625" style="3"/>
  </cols>
  <sheetData>
    <row r="1" spans="1:23" s="65" customFormat="1" ht="15.75" customHeight="1" thickBot="1" x14ac:dyDescent="0.3">
      <c r="F1" s="682" t="s">
        <v>217</v>
      </c>
    </row>
    <row r="2" spans="1:23" s="58" customFormat="1" ht="15" customHeight="1" thickBot="1" x14ac:dyDescent="0.3">
      <c r="A2" s="65"/>
      <c r="B2" s="3"/>
      <c r="C2" s="47" t="s">
        <v>24</v>
      </c>
      <c r="D2" s="47"/>
      <c r="E2" s="47"/>
      <c r="F2" s="47"/>
      <c r="G2" s="47"/>
      <c r="H2" s="63">
        <v>5000</v>
      </c>
      <c r="I2" s="47" t="s">
        <v>26</v>
      </c>
      <c r="J2" s="3"/>
      <c r="K2" s="3"/>
      <c r="L2" s="3"/>
      <c r="M2" s="3"/>
      <c r="N2" s="3"/>
      <c r="O2" s="65"/>
      <c r="P2" s="65"/>
      <c r="Q2" s="65"/>
      <c r="R2" s="65"/>
      <c r="S2" s="65"/>
    </row>
    <row r="3" spans="1:23" ht="18" customHeight="1" thickBot="1" x14ac:dyDescent="0.3">
      <c r="B3" s="47"/>
      <c r="C3" s="47" t="s">
        <v>34</v>
      </c>
      <c r="D3" s="47"/>
      <c r="E3" s="47"/>
      <c r="F3" s="64">
        <v>30</v>
      </c>
      <c r="G3" s="47" t="s">
        <v>25</v>
      </c>
      <c r="H3" s="47"/>
      <c r="I3" s="47"/>
      <c r="J3" s="47"/>
      <c r="K3" s="47"/>
      <c r="L3" s="12"/>
      <c r="M3" s="12"/>
      <c r="N3" s="12"/>
      <c r="W3" s="41"/>
    </row>
    <row r="4" spans="1:23" ht="35.25" customHeight="1" thickBot="1" x14ac:dyDescent="0.3">
      <c r="B4" s="3"/>
      <c r="C4" s="53"/>
      <c r="D4" s="43" t="s">
        <v>17</v>
      </c>
      <c r="E4" s="44" t="s">
        <v>32</v>
      </c>
      <c r="F4" s="45" t="s">
        <v>30</v>
      </c>
      <c r="G4" s="45" t="s">
        <v>3</v>
      </c>
      <c r="H4" s="46" t="s">
        <v>18</v>
      </c>
      <c r="I4" s="11"/>
      <c r="J4" s="13"/>
      <c r="K4" s="11"/>
      <c r="L4" s="11"/>
      <c r="M4" s="11"/>
      <c r="N4" s="11"/>
      <c r="W4" s="41"/>
    </row>
    <row r="5" spans="1:23" ht="15.75" customHeight="1" x14ac:dyDescent="0.25">
      <c r="B5" s="3"/>
      <c r="C5" s="49" t="s">
        <v>13</v>
      </c>
      <c r="D5" s="21">
        <v>100</v>
      </c>
      <c r="E5" s="15"/>
      <c r="F5" s="22">
        <f>F3</f>
        <v>30</v>
      </c>
      <c r="G5" s="15"/>
      <c r="H5" s="24">
        <f>D5-F5</f>
        <v>70</v>
      </c>
      <c r="I5" s="13"/>
      <c r="J5" s="13"/>
      <c r="K5" s="11"/>
      <c r="L5" s="11"/>
      <c r="M5" s="11"/>
      <c r="N5" s="11"/>
      <c r="W5" s="41"/>
    </row>
    <row r="6" spans="1:23" ht="17.25" customHeight="1" x14ac:dyDescent="0.25">
      <c r="B6" s="3"/>
      <c r="C6" s="49" t="s">
        <v>20</v>
      </c>
      <c r="D6" s="30">
        <f>H2</f>
        <v>5000</v>
      </c>
      <c r="E6" s="20"/>
      <c r="F6" s="23"/>
      <c r="G6" s="20"/>
      <c r="H6" s="31" t="s">
        <v>22</v>
      </c>
      <c r="I6" s="13"/>
      <c r="J6" s="13"/>
      <c r="K6" s="11"/>
      <c r="L6" s="11"/>
      <c r="M6" s="11"/>
      <c r="N6" s="11"/>
      <c r="W6" s="41"/>
    </row>
    <row r="7" spans="1:23" ht="9" customHeight="1" x14ac:dyDescent="0.25">
      <c r="B7" s="3"/>
      <c r="C7" s="13"/>
      <c r="D7" s="26"/>
      <c r="E7" s="14"/>
      <c r="F7" s="27"/>
      <c r="G7" s="14"/>
      <c r="H7" s="28"/>
      <c r="I7" s="13"/>
      <c r="J7" s="13"/>
      <c r="K7" s="11"/>
      <c r="L7" s="11"/>
      <c r="M7" s="11"/>
      <c r="N7" s="11"/>
      <c r="W7" s="41"/>
    </row>
    <row r="8" spans="1:23" ht="17.25" customHeight="1" x14ac:dyDescent="0.25">
      <c r="B8" s="3"/>
      <c r="C8" s="49"/>
      <c r="D8" s="50" t="s">
        <v>17</v>
      </c>
      <c r="E8" s="51"/>
      <c r="F8" s="52" t="s">
        <v>18</v>
      </c>
      <c r="G8" s="14"/>
      <c r="H8" s="28"/>
      <c r="I8" s="13"/>
      <c r="J8" s="13"/>
      <c r="K8" s="11"/>
      <c r="L8" s="11"/>
      <c r="M8" s="11"/>
      <c r="N8" s="11"/>
      <c r="W8" s="41"/>
    </row>
    <row r="9" spans="1:23" ht="18" customHeight="1" x14ac:dyDescent="0.25">
      <c r="B9" s="3"/>
      <c r="C9" s="49" t="s">
        <v>13</v>
      </c>
      <c r="D9" s="21">
        <f>D5</f>
        <v>100</v>
      </c>
      <c r="E9" s="13"/>
      <c r="F9" s="24">
        <f>H5</f>
        <v>70</v>
      </c>
      <c r="G9" s="13"/>
      <c r="H9" s="13"/>
      <c r="I9" s="13"/>
      <c r="J9" s="13"/>
      <c r="K9" s="11"/>
      <c r="L9" s="11"/>
      <c r="M9" s="11"/>
      <c r="N9" s="11"/>
      <c r="W9" s="41"/>
    </row>
    <row r="10" spans="1:23" ht="18.75" customHeight="1" x14ac:dyDescent="0.25">
      <c r="B10" s="3"/>
      <c r="C10" s="48" t="s">
        <v>20</v>
      </c>
      <c r="D10" s="30">
        <f>D6</f>
        <v>5000</v>
      </c>
      <c r="E10" s="12"/>
      <c r="F10" s="31" t="s">
        <v>22</v>
      </c>
      <c r="G10" s="12"/>
      <c r="H10" s="12"/>
      <c r="I10" s="12"/>
      <c r="J10" s="12"/>
      <c r="K10" s="11"/>
      <c r="L10" s="11"/>
      <c r="M10" s="11"/>
      <c r="N10" s="11"/>
      <c r="W10" s="41"/>
    </row>
    <row r="11" spans="1:23" s="13" customFormat="1" ht="11.25" customHeight="1" x14ac:dyDescent="0.25">
      <c r="A11" s="65"/>
      <c r="O11" s="322"/>
      <c r="P11" s="322"/>
      <c r="Q11" s="322"/>
      <c r="R11" s="322"/>
      <c r="S11" s="322"/>
      <c r="T11" s="60"/>
      <c r="U11" s="60"/>
      <c r="V11" s="60"/>
      <c r="W11" s="42"/>
    </row>
    <row r="12" spans="1:23" s="13" customFormat="1" ht="15.75" customHeight="1" x14ac:dyDescent="0.35">
      <c r="A12" s="65"/>
      <c r="C12" s="29">
        <f>D9</f>
        <v>100</v>
      </c>
      <c r="D12" s="34" t="str">
        <f>F10</f>
        <v>x</v>
      </c>
      <c r="E12" s="14" t="s">
        <v>3</v>
      </c>
      <c r="F12" s="33">
        <f>D6</f>
        <v>5000</v>
      </c>
      <c r="G12" s="32" t="s">
        <v>23</v>
      </c>
      <c r="H12" s="24">
        <f>H5</f>
        <v>70</v>
      </c>
      <c r="O12" s="322"/>
      <c r="P12" s="322"/>
      <c r="Q12" s="322"/>
      <c r="R12" s="322"/>
      <c r="S12" s="322"/>
      <c r="T12" s="60"/>
      <c r="U12" s="60"/>
      <c r="V12" s="60"/>
      <c r="W12" s="42"/>
    </row>
    <row r="13" spans="1:23" s="13" customFormat="1" ht="9.75" customHeight="1" x14ac:dyDescent="0.25">
      <c r="A13" s="65"/>
      <c r="O13" s="322"/>
      <c r="P13" s="322"/>
      <c r="Q13" s="322"/>
      <c r="R13" s="322"/>
      <c r="S13" s="322"/>
      <c r="T13" s="60"/>
      <c r="U13" s="60"/>
      <c r="V13" s="60"/>
      <c r="W13" s="42"/>
    </row>
    <row r="14" spans="1:23" s="13" customFormat="1" ht="13.5" customHeight="1" x14ac:dyDescent="0.25">
      <c r="A14" s="65"/>
      <c r="C14" s="2198" t="str">
        <f>CONCATENATE(D5,H6," = ",D6*H5)</f>
        <v>100x = 350000</v>
      </c>
      <c r="D14" s="2198"/>
      <c r="E14" s="2198"/>
      <c r="F14" s="2198"/>
      <c r="G14" s="2198"/>
      <c r="H14" s="2198"/>
      <c r="O14" s="322"/>
      <c r="P14" s="322"/>
      <c r="Q14" s="322"/>
      <c r="R14" s="322"/>
      <c r="S14" s="322"/>
      <c r="T14" s="60"/>
      <c r="U14" s="60"/>
      <c r="V14" s="60"/>
      <c r="W14" s="42"/>
    </row>
    <row r="15" spans="1:23" s="13" customFormat="1" ht="17.25" customHeight="1" x14ac:dyDescent="0.25">
      <c r="A15" s="65"/>
      <c r="C15" s="2198" t="str">
        <f>CONCATENATE(H6," = ",D6*H5,"/",D5)</f>
        <v>x = 350000/100</v>
      </c>
      <c r="D15" s="2198"/>
      <c r="E15" s="2198"/>
      <c r="F15" s="2198"/>
      <c r="G15" s="2198"/>
      <c r="H15" s="2198"/>
      <c r="O15" s="322"/>
      <c r="P15" s="322"/>
      <c r="Q15" s="322"/>
      <c r="R15" s="322"/>
      <c r="S15" s="322"/>
      <c r="T15" s="60"/>
      <c r="U15" s="60"/>
      <c r="V15" s="60"/>
      <c r="W15" s="42"/>
    </row>
    <row r="16" spans="1:23" s="13" customFormat="1" ht="12.75" customHeight="1" x14ac:dyDescent="0.25">
      <c r="A16" s="65"/>
      <c r="C16" s="2198" t="str">
        <f>CONCATENATE(H6," = ",ROUND(D6*H5/D5,2))</f>
        <v>x = 3500</v>
      </c>
      <c r="D16" s="2198"/>
      <c r="E16" s="2198"/>
      <c r="F16" s="2198"/>
      <c r="G16" s="2198"/>
      <c r="H16" s="2198"/>
      <c r="O16" s="322"/>
      <c r="P16" s="322"/>
      <c r="Q16" s="322"/>
      <c r="R16" s="322"/>
      <c r="S16" s="322"/>
      <c r="T16" s="60"/>
      <c r="U16" s="60"/>
      <c r="V16" s="60"/>
      <c r="W16" s="42"/>
    </row>
    <row r="17" spans="1:23" s="13" customFormat="1" ht="3" customHeight="1" x14ac:dyDescent="0.25">
      <c r="A17" s="65"/>
      <c r="O17" s="322"/>
      <c r="P17" s="322"/>
      <c r="Q17" s="322"/>
      <c r="R17" s="322"/>
      <c r="S17" s="322"/>
      <c r="T17" s="60"/>
      <c r="U17" s="60"/>
      <c r="V17" s="60"/>
      <c r="W17" s="42"/>
    </row>
    <row r="18" spans="1:23" s="13" customFormat="1" ht="14.25" customHeight="1" x14ac:dyDescent="0.25">
      <c r="A18" s="65"/>
      <c r="C18" s="2199" t="str">
        <f xml:space="preserve"> CONCATENATE("O preço de venda é  R$ ",D6*H5/D5,". Este valor representa ",100-F5,"% do custo, porque ",F5,"%  do custo é prejuízo.")</f>
        <v>O preço de venda é  R$ 3500. Este valor representa 70% do custo, porque 30%  do custo é prejuízo.</v>
      </c>
      <c r="D18" s="2199"/>
      <c r="E18" s="2199"/>
      <c r="F18" s="2199"/>
      <c r="G18" s="2199"/>
      <c r="H18" s="2199"/>
      <c r="I18" s="2199"/>
      <c r="J18" s="2199"/>
      <c r="K18" s="2199"/>
      <c r="L18" s="2199"/>
      <c r="M18" s="2199"/>
      <c r="N18" s="2199"/>
      <c r="O18" s="322"/>
      <c r="P18" s="322"/>
      <c r="Q18" s="322"/>
      <c r="R18" s="322"/>
      <c r="S18" s="322"/>
      <c r="T18" s="60"/>
      <c r="U18" s="60"/>
      <c r="V18" s="60"/>
      <c r="W18" s="42"/>
    </row>
    <row r="19" spans="1:23" s="13" customFormat="1" ht="21.75" customHeight="1" x14ac:dyDescent="0.25">
      <c r="A19" s="65"/>
      <c r="C19" s="2199"/>
      <c r="D19" s="2199"/>
      <c r="E19" s="2199"/>
      <c r="F19" s="2199"/>
      <c r="G19" s="2199"/>
      <c r="H19" s="2199"/>
      <c r="I19" s="2199"/>
      <c r="J19" s="2199"/>
      <c r="K19" s="2199"/>
      <c r="L19" s="2199"/>
      <c r="M19" s="2199"/>
      <c r="N19" s="2199"/>
      <c r="O19" s="322"/>
      <c r="P19" s="322"/>
      <c r="Q19" s="322"/>
      <c r="R19" s="322"/>
      <c r="S19" s="322"/>
      <c r="T19" s="60"/>
      <c r="U19" s="60"/>
      <c r="V19" s="60"/>
      <c r="W19" s="42"/>
    </row>
    <row r="20" spans="1:23" s="13" customFormat="1" ht="6" customHeight="1" x14ac:dyDescent="0.25">
      <c r="A20" s="65"/>
      <c r="O20" s="322"/>
      <c r="P20" s="322"/>
      <c r="Q20" s="322"/>
      <c r="R20" s="322"/>
      <c r="S20" s="322"/>
      <c r="T20" s="60"/>
      <c r="U20" s="60"/>
      <c r="V20" s="60"/>
      <c r="W20" s="42"/>
    </row>
    <row r="21" spans="1:23" s="55" customFormat="1" x14ac:dyDescent="0.25">
      <c r="A21" s="65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23" s="55" customFormat="1" x14ac:dyDescent="0.25">
      <c r="A22" s="65"/>
      <c r="O22" s="322"/>
      <c r="P22" s="322"/>
      <c r="Q22" s="322"/>
      <c r="R22" s="322"/>
      <c r="S22" s="322"/>
      <c r="T22" s="322"/>
      <c r="U22" s="322"/>
      <c r="V22" s="322"/>
      <c r="W22" s="322"/>
    </row>
    <row r="23" spans="1:23" s="55" customFormat="1" x14ac:dyDescent="0.25">
      <c r="A23" s="65"/>
      <c r="O23" s="322"/>
      <c r="P23" s="322"/>
      <c r="Q23" s="322"/>
      <c r="R23" s="322"/>
      <c r="S23" s="322"/>
      <c r="T23" s="322"/>
      <c r="U23" s="322"/>
      <c r="V23" s="322"/>
      <c r="W23" s="322"/>
    </row>
    <row r="24" spans="1:23" s="55" customFormat="1" x14ac:dyDescent="0.25">
      <c r="A24" s="65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23" s="55" customFormat="1" x14ac:dyDescent="0.25">
      <c r="A25" s="65"/>
      <c r="O25" s="322"/>
      <c r="P25" s="322"/>
      <c r="Q25" s="322"/>
      <c r="R25" s="322"/>
      <c r="S25" s="322"/>
      <c r="T25" s="322"/>
      <c r="U25" s="322"/>
      <c r="V25" s="322"/>
      <c r="W25" s="322"/>
    </row>
    <row r="26" spans="1:23" s="55" customFormat="1" x14ac:dyDescent="0.25">
      <c r="A26" s="65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1:23" s="55" customFormat="1" x14ac:dyDescent="0.25">
      <c r="A27" s="65"/>
      <c r="O27" s="322"/>
      <c r="P27" s="322"/>
      <c r="Q27" s="322"/>
      <c r="R27" s="322"/>
      <c r="S27" s="322"/>
      <c r="T27" s="322"/>
      <c r="U27" s="322"/>
      <c r="V27" s="322"/>
      <c r="W27" s="322"/>
    </row>
    <row r="28" spans="1:23" s="54" customFormat="1" x14ac:dyDescent="0.25">
      <c r="A28" s="65"/>
    </row>
    <row r="29" spans="1:23" s="54" customFormat="1" x14ac:dyDescent="0.25">
      <c r="A29" s="65"/>
    </row>
    <row r="30" spans="1:23" s="54" customFormat="1" x14ac:dyDescent="0.25">
      <c r="A30" s="65"/>
    </row>
    <row r="31" spans="1:23" s="54" customFormat="1" x14ac:dyDescent="0.25">
      <c r="A31" s="65"/>
    </row>
    <row r="32" spans="1:23" s="54" customFormat="1" x14ac:dyDescent="0.25">
      <c r="A32" s="65"/>
    </row>
    <row r="33" spans="1:23" s="54" customFormat="1" x14ac:dyDescent="0.25"/>
    <row r="34" spans="1:23" x14ac:dyDescent="0.25">
      <c r="A34" s="54"/>
      <c r="B34" s="3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W34" s="41"/>
    </row>
    <row r="35" spans="1:23" x14ac:dyDescent="0.25">
      <c r="A35" s="54"/>
      <c r="B35" s="3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W35" s="41"/>
    </row>
    <row r="36" spans="1:23" x14ac:dyDescent="0.25">
      <c r="A36" s="54"/>
      <c r="B36" s="3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W36" s="41"/>
    </row>
    <row r="37" spans="1:23" x14ac:dyDescent="0.25">
      <c r="A37" s="54"/>
      <c r="B37" s="3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W37" s="41"/>
    </row>
    <row r="38" spans="1:23" x14ac:dyDescent="0.25">
      <c r="A38" s="54"/>
      <c r="B38" s="3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W38" s="41"/>
    </row>
    <row r="39" spans="1:23" x14ac:dyDescent="0.25">
      <c r="A39" s="54"/>
      <c r="B39" s="3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W39" s="41"/>
    </row>
    <row r="40" spans="1:23" x14ac:dyDescent="0.25">
      <c r="A40" s="54"/>
      <c r="B40" s="3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W40" s="41"/>
    </row>
    <row r="41" spans="1:23" x14ac:dyDescent="0.25">
      <c r="A41" s="54"/>
      <c r="B41" s="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W41" s="41"/>
    </row>
    <row r="42" spans="1:23" x14ac:dyDescent="0.25">
      <c r="A42" s="54"/>
      <c r="B42" s="3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W42" s="41"/>
    </row>
    <row r="43" spans="1:23" x14ac:dyDescent="0.25">
      <c r="A43" s="54"/>
      <c r="B43" s="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W43" s="41"/>
    </row>
    <row r="44" spans="1:23" x14ac:dyDescent="0.25">
      <c r="A44" s="54"/>
      <c r="B44" s="3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W44" s="41"/>
    </row>
    <row r="45" spans="1:23" x14ac:dyDescent="0.25">
      <c r="A45" s="54"/>
      <c r="B45" s="3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W45" s="41"/>
    </row>
    <row r="46" spans="1:23" x14ac:dyDescent="0.25">
      <c r="A46" s="54"/>
      <c r="B46" s="3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W46" s="41"/>
    </row>
    <row r="47" spans="1:23" x14ac:dyDescent="0.25">
      <c r="A47" s="54"/>
      <c r="B47" s="3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W47" s="41"/>
    </row>
    <row r="48" spans="1:23" x14ac:dyDescent="0.25">
      <c r="A48" s="54"/>
      <c r="B48" s="3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W48" s="41"/>
    </row>
    <row r="49" spans="1:23" x14ac:dyDescent="0.25">
      <c r="A49" s="54"/>
      <c r="B49" s="3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W49" s="41"/>
    </row>
    <row r="50" spans="1:23" x14ac:dyDescent="0.25">
      <c r="A50" s="54"/>
      <c r="B50" s="3"/>
      <c r="W50" s="41"/>
    </row>
    <row r="51" spans="1:23" x14ac:dyDescent="0.25">
      <c r="A51" s="54"/>
      <c r="B51" s="3"/>
      <c r="W51" s="41"/>
    </row>
    <row r="54" spans="1:23" x14ac:dyDescent="0.25">
      <c r="A54" s="54"/>
      <c r="B54" s="3"/>
      <c r="C54" s="2" t="s">
        <v>0</v>
      </c>
    </row>
    <row r="55" spans="1:23" x14ac:dyDescent="0.25">
      <c r="A55" s="54"/>
      <c r="B55" s="3"/>
      <c r="C55" s="2"/>
    </row>
  </sheetData>
  <mergeCells count="4">
    <mergeCell ref="C14:H14"/>
    <mergeCell ref="C15:H15"/>
    <mergeCell ref="C16:H16"/>
    <mergeCell ref="C18:N19"/>
  </mergeCells>
  <pageMargins left="0.511811024" right="0.511811024" top="0.78740157499999996" bottom="0.78740157499999996" header="0.31496062000000002" footer="0.3149606200000000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/>
  <dimension ref="A1:W55"/>
  <sheetViews>
    <sheetView workbookViewId="0">
      <selection activeCell="F1" sqref="F1"/>
    </sheetView>
  </sheetViews>
  <sheetFormatPr defaultColWidth="20.09765625" defaultRowHeight="15" x14ac:dyDescent="0.25"/>
  <cols>
    <col min="1" max="1" width="3.8984375" style="3" customWidth="1"/>
    <col min="2" max="2" width="5.59765625" style="54" customWidth="1"/>
    <col min="3" max="3" width="9.09765625" style="3" customWidth="1"/>
    <col min="4" max="4" width="7.69921875" style="3" customWidth="1"/>
    <col min="5" max="5" width="5.69921875" style="3" customWidth="1"/>
    <col min="6" max="6" width="10.19921875" style="3" customWidth="1"/>
    <col min="7" max="7" width="2.5" style="3" customWidth="1"/>
    <col min="8" max="8" width="7.59765625" style="3" customWidth="1"/>
    <col min="9" max="9" width="6.3984375" style="3" customWidth="1"/>
    <col min="10" max="12" width="7.19921875" style="3" customWidth="1"/>
    <col min="13" max="13" width="1" style="3" customWidth="1"/>
    <col min="14" max="14" width="8.59765625" style="3" customWidth="1"/>
    <col min="15" max="15" width="4.09765625" style="54" customWidth="1"/>
    <col min="16" max="19" width="20.09765625" style="54"/>
    <col min="20" max="16384" width="20.09765625" style="3"/>
  </cols>
  <sheetData>
    <row r="1" spans="1:23" s="54" customFormat="1" ht="15.6" thickBot="1" x14ac:dyDescent="0.3">
      <c r="F1" s="682" t="s">
        <v>217</v>
      </c>
    </row>
    <row r="2" spans="1:23" s="58" customFormat="1" ht="15" customHeight="1" thickBot="1" x14ac:dyDescent="0.3">
      <c r="A2" s="54"/>
      <c r="B2" s="3"/>
      <c r="C2" s="47" t="s">
        <v>24</v>
      </c>
      <c r="D2" s="47"/>
      <c r="E2" s="47"/>
      <c r="F2" s="47"/>
      <c r="G2" s="47"/>
      <c r="H2" s="47"/>
      <c r="I2" s="63">
        <v>340</v>
      </c>
      <c r="J2" s="47" t="s">
        <v>26</v>
      </c>
      <c r="K2" s="3"/>
      <c r="L2" s="3"/>
      <c r="M2" s="3"/>
      <c r="N2" s="3"/>
      <c r="O2" s="65"/>
      <c r="P2" s="65"/>
      <c r="Q2" s="65"/>
      <c r="R2" s="65"/>
      <c r="S2" s="65"/>
      <c r="T2" s="65"/>
      <c r="U2" s="65"/>
      <c r="V2" s="65"/>
      <c r="W2" s="65"/>
    </row>
    <row r="3" spans="1:23" ht="18" customHeight="1" thickBot="1" x14ac:dyDescent="0.3">
      <c r="A3" s="54"/>
      <c r="B3" s="47"/>
      <c r="C3" s="47" t="s">
        <v>35</v>
      </c>
      <c r="D3" s="47"/>
      <c r="E3" s="47"/>
      <c r="F3" s="64">
        <v>43</v>
      </c>
      <c r="G3" s="47" t="s">
        <v>28</v>
      </c>
      <c r="H3" s="47"/>
      <c r="I3" s="47"/>
      <c r="J3" s="47"/>
      <c r="K3" s="47"/>
      <c r="L3" s="12"/>
      <c r="M3" s="12"/>
      <c r="N3" s="12"/>
      <c r="T3" s="54"/>
      <c r="U3" s="54"/>
      <c r="V3" s="54"/>
      <c r="W3" s="54"/>
    </row>
    <row r="4" spans="1:23" ht="22.5" customHeight="1" thickBot="1" x14ac:dyDescent="0.3">
      <c r="A4" s="54"/>
      <c r="B4" s="3"/>
      <c r="C4" s="13"/>
      <c r="D4" s="19" t="s">
        <v>17</v>
      </c>
      <c r="E4" s="16" t="s">
        <v>32</v>
      </c>
      <c r="F4" s="18" t="s">
        <v>33</v>
      </c>
      <c r="G4" s="17" t="s">
        <v>3</v>
      </c>
      <c r="H4" s="19" t="s">
        <v>18</v>
      </c>
      <c r="J4" s="13"/>
    </row>
    <row r="5" spans="1:23" ht="15.75" customHeight="1" x14ac:dyDescent="0.25">
      <c r="A5" s="54"/>
      <c r="B5" s="3"/>
      <c r="C5" s="61" t="s">
        <v>13</v>
      </c>
      <c r="D5" s="24">
        <f>H5+F5</f>
        <v>143</v>
      </c>
      <c r="E5" s="15"/>
      <c r="F5" s="22">
        <f>F3</f>
        <v>43</v>
      </c>
      <c r="G5" s="15"/>
      <c r="H5" s="35">
        <v>100</v>
      </c>
      <c r="I5" s="13"/>
      <c r="J5" s="13"/>
    </row>
    <row r="6" spans="1:23" ht="17.25" customHeight="1" thickBot="1" x14ac:dyDescent="0.3">
      <c r="A6" s="54"/>
      <c r="B6" s="3"/>
      <c r="C6" s="62" t="s">
        <v>20</v>
      </c>
      <c r="D6" s="25">
        <f>I2</f>
        <v>340</v>
      </c>
      <c r="E6" s="20"/>
      <c r="F6" s="23"/>
      <c r="G6" s="20"/>
      <c r="H6" s="36" t="s">
        <v>22</v>
      </c>
      <c r="I6" s="13"/>
      <c r="J6" s="13"/>
    </row>
    <row r="7" spans="1:23" ht="12" customHeight="1" thickBot="1" x14ac:dyDescent="0.3">
      <c r="A7" s="54"/>
      <c r="B7" s="3"/>
      <c r="C7" s="13"/>
      <c r="D7" s="26"/>
      <c r="E7" s="14"/>
      <c r="F7" s="27"/>
      <c r="G7" s="14"/>
      <c r="H7" s="28"/>
      <c r="I7" s="13"/>
      <c r="J7" s="13"/>
    </row>
    <row r="8" spans="1:23" ht="17.25" customHeight="1" thickBot="1" x14ac:dyDescent="0.3">
      <c r="A8" s="54"/>
      <c r="B8" s="3"/>
      <c r="C8" s="13"/>
      <c r="D8" s="46" t="s">
        <v>17</v>
      </c>
      <c r="E8" s="14"/>
      <c r="F8" s="37" t="s">
        <v>18</v>
      </c>
      <c r="G8" s="14"/>
      <c r="H8" s="28"/>
      <c r="I8" s="13"/>
      <c r="J8" s="13"/>
    </row>
    <row r="9" spans="1:23" ht="18" customHeight="1" x14ac:dyDescent="0.25">
      <c r="A9" s="54"/>
      <c r="B9" s="3"/>
      <c r="C9" s="61" t="s">
        <v>13</v>
      </c>
      <c r="D9" s="24">
        <f>D5</f>
        <v>143</v>
      </c>
      <c r="E9" s="13"/>
      <c r="F9" s="35">
        <f>H5</f>
        <v>100</v>
      </c>
      <c r="G9" s="13"/>
      <c r="H9" s="13"/>
      <c r="I9" s="13"/>
      <c r="J9" s="13"/>
      <c r="K9" s="11"/>
    </row>
    <row r="10" spans="1:23" ht="16.5" customHeight="1" thickBot="1" x14ac:dyDescent="0.3">
      <c r="A10" s="54"/>
      <c r="B10" s="3"/>
      <c r="C10" s="62" t="s">
        <v>20</v>
      </c>
      <c r="D10" s="25">
        <f>D6</f>
        <v>340</v>
      </c>
      <c r="E10" s="12"/>
      <c r="F10" s="36" t="s">
        <v>22</v>
      </c>
      <c r="G10" s="12"/>
      <c r="H10" s="12"/>
      <c r="I10" s="12"/>
      <c r="J10" s="12"/>
    </row>
    <row r="11" spans="1:23" s="13" customFormat="1" ht="10.5" customHeight="1" x14ac:dyDescent="0.3">
      <c r="A11" s="55"/>
      <c r="O11" s="55"/>
      <c r="P11" s="55"/>
      <c r="Q11" s="55"/>
      <c r="R11" s="55"/>
      <c r="S11" s="55"/>
    </row>
    <row r="12" spans="1:23" s="13" customFormat="1" ht="18" x14ac:dyDescent="0.35">
      <c r="A12" s="55"/>
      <c r="C12" s="38">
        <f>D9</f>
        <v>143</v>
      </c>
      <c r="D12" s="39" t="str">
        <f>F10</f>
        <v>x</v>
      </c>
      <c r="E12" s="14" t="s">
        <v>3</v>
      </c>
      <c r="F12" s="40">
        <f>D6</f>
        <v>340</v>
      </c>
      <c r="G12" s="32" t="s">
        <v>23</v>
      </c>
      <c r="H12" s="35">
        <f>H5</f>
        <v>100</v>
      </c>
      <c r="O12" s="55"/>
      <c r="P12" s="55"/>
      <c r="Q12" s="55"/>
      <c r="R12" s="55"/>
      <c r="S12" s="55"/>
    </row>
    <row r="13" spans="1:23" s="13" customFormat="1" ht="9.75" customHeight="1" x14ac:dyDescent="0.3">
      <c r="A13" s="55"/>
      <c r="O13" s="55"/>
      <c r="P13" s="55"/>
      <c r="Q13" s="55"/>
      <c r="R13" s="55"/>
      <c r="S13" s="55"/>
    </row>
    <row r="14" spans="1:23" s="13" customFormat="1" ht="18" customHeight="1" x14ac:dyDescent="0.3">
      <c r="A14" s="55"/>
      <c r="C14" s="2198" t="str">
        <f>CONCATENATE(D5,H6," = ",D6*H5)</f>
        <v>143x = 34000</v>
      </c>
      <c r="D14" s="2198"/>
      <c r="E14" s="2198"/>
      <c r="F14" s="2198"/>
      <c r="G14" s="2198"/>
      <c r="H14" s="2198"/>
      <c r="O14" s="55"/>
      <c r="P14" s="55"/>
      <c r="Q14" s="55"/>
      <c r="R14" s="55"/>
      <c r="S14" s="55"/>
    </row>
    <row r="15" spans="1:23" s="13" customFormat="1" ht="17.25" customHeight="1" x14ac:dyDescent="0.3">
      <c r="A15" s="55"/>
      <c r="C15" s="2198" t="str">
        <f>CONCATENATE(H6," = ",D6*H5,"/",D5)</f>
        <v>x = 34000/143</v>
      </c>
      <c r="D15" s="2198"/>
      <c r="E15" s="2198"/>
      <c r="F15" s="2198"/>
      <c r="G15" s="2198"/>
      <c r="H15" s="2198"/>
      <c r="O15" s="55"/>
      <c r="P15" s="55"/>
      <c r="Q15" s="55"/>
      <c r="R15" s="55"/>
      <c r="S15" s="55"/>
    </row>
    <row r="16" spans="1:23" s="13" customFormat="1" ht="15" customHeight="1" x14ac:dyDescent="0.3">
      <c r="A16" s="55"/>
      <c r="C16" s="2198" t="str">
        <f>CONCATENATE(H6," = ",ROUND(D6*H5/D5,2))</f>
        <v>x = 237,76</v>
      </c>
      <c r="D16" s="2198"/>
      <c r="E16" s="2198"/>
      <c r="F16" s="2198"/>
      <c r="G16" s="2198"/>
      <c r="H16" s="2198"/>
      <c r="O16" s="55"/>
      <c r="P16" s="55"/>
      <c r="Q16" s="55"/>
      <c r="R16" s="55"/>
      <c r="S16" s="55"/>
    </row>
    <row r="17" spans="1:19" s="13" customFormat="1" x14ac:dyDescent="0.3">
      <c r="A17" s="55"/>
      <c r="O17" s="55"/>
      <c r="P17" s="55"/>
      <c r="Q17" s="55"/>
      <c r="R17" s="55"/>
      <c r="S17" s="55"/>
    </row>
    <row r="18" spans="1:19" s="13" customFormat="1" x14ac:dyDescent="0.3">
      <c r="A18" s="55"/>
      <c r="C18" s="2200" t="str">
        <f xml:space="preserve"> CONCATENATE("O preço de venda é  R$ ",ROUND(D6*H5/D5,2),", e  deste valor,  ", F5,"% corresponde ao  prejuízo.")</f>
        <v>O preço de venda é  R$ 237,76, e  deste valor,  43% corresponde ao  prejuízo.</v>
      </c>
      <c r="D18" s="2200"/>
      <c r="E18" s="2200"/>
      <c r="F18" s="2200"/>
      <c r="G18" s="2200"/>
      <c r="H18" s="2200"/>
      <c r="I18" s="2200"/>
      <c r="J18" s="2200"/>
      <c r="K18" s="2200"/>
      <c r="L18" s="2200"/>
      <c r="M18" s="2200"/>
      <c r="O18" s="55"/>
      <c r="P18" s="55"/>
      <c r="Q18" s="55"/>
      <c r="R18" s="55"/>
      <c r="S18" s="55"/>
    </row>
    <row r="19" spans="1:19" s="13" customFormat="1" x14ac:dyDescent="0.3">
      <c r="A19" s="55"/>
      <c r="O19" s="55"/>
      <c r="P19" s="55"/>
      <c r="Q19" s="55"/>
      <c r="R19" s="55"/>
      <c r="S19" s="55"/>
    </row>
    <row r="20" spans="1:19" s="55" customFormat="1" x14ac:dyDescent="0.3"/>
    <row r="21" spans="1:19" s="55" customFormat="1" x14ac:dyDescent="0.3"/>
    <row r="22" spans="1:19" s="55" customFormat="1" x14ac:dyDescent="0.3"/>
    <row r="23" spans="1:19" s="55" customFormat="1" x14ac:dyDescent="0.3"/>
    <row r="24" spans="1:19" s="55" customFormat="1" x14ac:dyDescent="0.3"/>
    <row r="25" spans="1:19" s="55" customFormat="1" x14ac:dyDescent="0.3"/>
    <row r="26" spans="1:19" s="55" customFormat="1" x14ac:dyDescent="0.3"/>
    <row r="27" spans="1:19" s="55" customFormat="1" x14ac:dyDescent="0.3"/>
    <row r="28" spans="1:19" s="54" customFormat="1" x14ac:dyDescent="0.25"/>
    <row r="29" spans="1:19" s="54" customFormat="1" x14ac:dyDescent="0.25"/>
    <row r="30" spans="1:19" s="54" customFormat="1" x14ac:dyDescent="0.25"/>
    <row r="31" spans="1:19" s="54" customFormat="1" x14ac:dyDescent="0.25"/>
    <row r="32" spans="1:19" s="54" customFormat="1" x14ac:dyDescent="0.25"/>
    <row r="33" s="54" customFormat="1" x14ac:dyDescent="0.25"/>
    <row r="34" s="54" customFormat="1" x14ac:dyDescent="0.25"/>
    <row r="35" s="54" customFormat="1" x14ac:dyDescent="0.25"/>
    <row r="36" s="54" customFormat="1" x14ac:dyDescent="0.25"/>
    <row r="37" s="54" customFormat="1" x14ac:dyDescent="0.25"/>
    <row r="38" s="54" customFormat="1" x14ac:dyDescent="0.25"/>
    <row r="39" s="54" customFormat="1" x14ac:dyDescent="0.25"/>
    <row r="40" s="54" customFormat="1" x14ac:dyDescent="0.25"/>
    <row r="41" s="54" customFormat="1" x14ac:dyDescent="0.25"/>
    <row r="42" s="54" customFormat="1" x14ac:dyDescent="0.25"/>
    <row r="43" s="54" customFormat="1" x14ac:dyDescent="0.25"/>
    <row r="44" s="54" customFormat="1" x14ac:dyDescent="0.25"/>
    <row r="45" s="54" customFormat="1" x14ac:dyDescent="0.25"/>
    <row r="46" s="54" customFormat="1" x14ac:dyDescent="0.25"/>
    <row r="47" s="54" customFormat="1" x14ac:dyDescent="0.25"/>
    <row r="48" s="54" customFormat="1" x14ac:dyDescent="0.25"/>
    <row r="49" spans="3:3" s="54" customFormat="1" x14ac:dyDescent="0.25"/>
    <row r="50" spans="3:3" s="54" customFormat="1" x14ac:dyDescent="0.25"/>
    <row r="51" spans="3:3" s="54" customFormat="1" x14ac:dyDescent="0.25"/>
    <row r="52" spans="3:3" s="54" customFormat="1" x14ac:dyDescent="0.25"/>
    <row r="53" spans="3:3" s="54" customFormat="1" x14ac:dyDescent="0.25"/>
    <row r="54" spans="3:3" s="54" customFormat="1" x14ac:dyDescent="0.25">
      <c r="C54" s="56" t="s">
        <v>0</v>
      </c>
    </row>
    <row r="55" spans="3:3" s="3" customFormat="1" x14ac:dyDescent="0.25">
      <c r="C55" s="2"/>
    </row>
  </sheetData>
  <mergeCells count="4">
    <mergeCell ref="C14:H14"/>
    <mergeCell ref="C15:H15"/>
    <mergeCell ref="C16:H16"/>
    <mergeCell ref="C18:M18"/>
  </mergeCells>
  <pageMargins left="0.511811024" right="0.511811024" top="0.78740157499999996" bottom="0.78740157499999996" header="0.31496062000000002" footer="0.3149606200000000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/>
  <dimension ref="B1:J11"/>
  <sheetViews>
    <sheetView workbookViewId="0">
      <selection activeCell="A4" sqref="A4:XFD4"/>
    </sheetView>
  </sheetViews>
  <sheetFormatPr defaultColWidth="9" defaultRowHeight="15" x14ac:dyDescent="0.25"/>
  <cols>
    <col min="1" max="1" width="2.8984375" style="54" customWidth="1"/>
    <col min="2" max="3" width="9" style="54"/>
    <col min="4" max="4" width="12.69921875" style="54" customWidth="1"/>
    <col min="5" max="5" width="9" style="54"/>
    <col min="6" max="6" width="20.5" style="54" customWidth="1"/>
    <col min="7" max="9" width="9" style="54"/>
    <col min="10" max="10" width="0.59765625" style="54" customWidth="1"/>
    <col min="11" max="16384" width="9" style="54"/>
  </cols>
  <sheetData>
    <row r="1" spans="2:10" ht="15.6" x14ac:dyDescent="0.3">
      <c r="E1" s="683" t="s">
        <v>207</v>
      </c>
    </row>
    <row r="2" spans="2:10" ht="15.75" customHeight="1" x14ac:dyDescent="0.25">
      <c r="B2" s="2202" t="str">
        <f>CONCATENATE("5) Certa mercadoria foi comprada por R$ ", nucaExluir!C3*5,",00   e vendida com um prejuízo de ", nucaExluir!C9/2," % sobre o preço de custo . Qual é o preço de venda? ")</f>
        <v xml:space="preserve">5) Certa mercadoria foi comprada por R$ 225,00   e vendida com um prejuízo de 32,5 % sobre o preço de custo . Qual é o preço de venda? </v>
      </c>
      <c r="C2" s="2202"/>
      <c r="D2" s="2202"/>
      <c r="E2" s="2202"/>
      <c r="F2" s="2202"/>
      <c r="G2" s="2202"/>
      <c r="H2" s="2202"/>
      <c r="I2" s="2202"/>
      <c r="J2" s="676"/>
    </row>
    <row r="3" spans="2:10" ht="21" customHeight="1" thickBot="1" x14ac:dyDescent="0.3">
      <c r="B3" s="2202"/>
      <c r="C3" s="2202"/>
      <c r="D3" s="2202"/>
      <c r="E3" s="2202"/>
      <c r="F3" s="2202"/>
      <c r="G3" s="2202"/>
      <c r="H3" s="2202"/>
      <c r="I3" s="2202"/>
      <c r="J3" s="675"/>
    </row>
    <row r="4" spans="2:10" ht="15.6" thickBot="1" x14ac:dyDescent="0.3">
      <c r="B4" s="676" t="s">
        <v>204</v>
      </c>
      <c r="C4" s="676"/>
      <c r="D4" s="676"/>
      <c r="E4" s="680" t="s">
        <v>20</v>
      </c>
      <c r="F4" s="679"/>
      <c r="G4" s="676" t="str">
        <f>IF(F4="","",IF(ABS(F4-5*nucaExluir!C3*(100-nucaExluir!C9/2)/100)&lt;6,"Correto!","Refaça os cálculos!"))</f>
        <v/>
      </c>
      <c r="H4" s="676"/>
      <c r="I4" s="676"/>
      <c r="J4" s="676"/>
    </row>
    <row r="5" spans="2:10" ht="83.25" customHeight="1" x14ac:dyDescent="0.25">
      <c r="B5" s="2201"/>
      <c r="C5" s="2201"/>
      <c r="D5" s="2201"/>
      <c r="E5" s="2201"/>
      <c r="F5" s="2201"/>
      <c r="G5" s="2201"/>
      <c r="H5" s="2201"/>
      <c r="I5" s="2201"/>
      <c r="J5" s="681"/>
    </row>
    <row r="7" spans="2:10" ht="15.6" x14ac:dyDescent="0.3">
      <c r="E7" s="683" t="s">
        <v>208</v>
      </c>
    </row>
    <row r="8" spans="2:10" ht="15.75" customHeight="1" x14ac:dyDescent="0.25">
      <c r="B8" s="2202" t="str">
        <f>CONCATENATE("6) Certa mercadoria foi comprada por R$ ", nucaExluir!C3*5,",00   e vendida com um prejuízo de ", nucaExluir!C9/2," % sobre o preço de venda . Qual é o preço de venda? ")</f>
        <v xml:space="preserve">6) Certa mercadoria foi comprada por R$ 225,00   e vendida com um prejuízo de 32,5 % sobre o preço de venda . Qual é o preço de venda? </v>
      </c>
      <c r="C8" s="2202"/>
      <c r="D8" s="2202"/>
      <c r="E8" s="2202"/>
      <c r="F8" s="2202"/>
      <c r="G8" s="2202"/>
      <c r="H8" s="2202"/>
      <c r="I8" s="2202"/>
      <c r="J8" s="676"/>
    </row>
    <row r="9" spans="2:10" ht="21" customHeight="1" thickBot="1" x14ac:dyDescent="0.3">
      <c r="B9" s="2202"/>
      <c r="C9" s="2202"/>
      <c r="D9" s="2202"/>
      <c r="E9" s="2202"/>
      <c r="F9" s="2202"/>
      <c r="G9" s="2202"/>
      <c r="H9" s="2202"/>
      <c r="I9" s="2202"/>
      <c r="J9" s="675"/>
    </row>
    <row r="10" spans="2:10" ht="15.6" thickBot="1" x14ac:dyDescent="0.3">
      <c r="B10" s="676" t="s">
        <v>204</v>
      </c>
      <c r="C10" s="676"/>
      <c r="D10" s="676"/>
      <c r="E10" s="680" t="s">
        <v>20</v>
      </c>
      <c r="F10" s="679"/>
      <c r="G10" s="676" t="str">
        <f>IF(F10="","",IF(ABS(F10-5*nucaExluir!C3*100/(100+nucaExluir!C9/2))&lt;6,"Correto!","Refaça os cálculos!"))</f>
        <v/>
      </c>
      <c r="H10" s="676"/>
      <c r="I10" s="676"/>
      <c r="J10" s="676"/>
    </row>
    <row r="11" spans="2:10" ht="103.5" customHeight="1" x14ac:dyDescent="0.25">
      <c r="B11" s="2201"/>
      <c r="C11" s="2201"/>
      <c r="D11" s="2201"/>
      <c r="E11" s="2201"/>
      <c r="F11" s="2201"/>
      <c r="G11" s="2201"/>
      <c r="H11" s="2201"/>
      <c r="I11" s="2201"/>
      <c r="J11" s="681"/>
    </row>
  </sheetData>
  <mergeCells count="4">
    <mergeCell ref="B2:I3"/>
    <mergeCell ref="B5:I5"/>
    <mergeCell ref="B8:I9"/>
    <mergeCell ref="B11:I11"/>
  </mergeCells>
  <pageMargins left="0.511811024" right="0.511811024" top="0.78740157499999996" bottom="0.78740157499999996" header="0.31496062000000002" footer="0.3149606200000000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AI40"/>
  <sheetViews>
    <sheetView workbookViewId="0">
      <selection activeCell="E1" sqref="E1"/>
    </sheetView>
  </sheetViews>
  <sheetFormatPr defaultColWidth="9" defaultRowHeight="15.6" x14ac:dyDescent="0.3"/>
  <cols>
    <col min="1" max="1" width="1.69921875" style="634" customWidth="1"/>
    <col min="2" max="2" width="8" style="622" customWidth="1"/>
    <col min="3" max="3" width="12.09765625" style="622" customWidth="1"/>
    <col min="4" max="4" width="2.59765625" style="622" customWidth="1"/>
    <col min="5" max="5" width="12.19921875" style="622" customWidth="1"/>
    <col min="6" max="7" width="4.59765625" style="622" customWidth="1"/>
    <col min="8" max="8" width="9.59765625" style="622" customWidth="1"/>
    <col min="9" max="9" width="11.5" style="622" customWidth="1"/>
    <col min="10" max="10" width="4.59765625" style="622" customWidth="1"/>
    <col min="11" max="11" width="12.8984375" style="622" customWidth="1"/>
    <col min="12" max="12" width="4.59765625" style="622" customWidth="1"/>
    <col min="13" max="35" width="9" style="634"/>
    <col min="36" max="16384" width="9" style="622"/>
  </cols>
  <sheetData>
    <row r="1" spans="2:12" s="634" customFormat="1" ht="12" customHeight="1" thickBot="1" x14ac:dyDescent="0.35">
      <c r="E1" s="682" t="s">
        <v>217</v>
      </c>
    </row>
    <row r="2" spans="2:12" ht="16.2" thickBot="1" x14ac:dyDescent="0.35">
      <c r="B2" s="620"/>
      <c r="C2" s="2203" t="s">
        <v>183</v>
      </c>
      <c r="D2" s="2203"/>
      <c r="E2" s="2203"/>
      <c r="F2" s="2203"/>
      <c r="G2" s="2203"/>
      <c r="H2" s="2203"/>
      <c r="I2" s="2203"/>
      <c r="J2" s="2203"/>
      <c r="K2" s="2203"/>
      <c r="L2" s="2204"/>
    </row>
    <row r="3" spans="2:12" ht="7.5" customHeight="1" x14ac:dyDescent="0.3">
      <c r="B3" s="637"/>
      <c r="C3" s="626"/>
      <c r="D3" s="626"/>
      <c r="E3" s="626"/>
      <c r="F3" s="626"/>
      <c r="G3" s="626"/>
      <c r="H3" s="626"/>
      <c r="I3" s="626"/>
      <c r="J3" s="626"/>
      <c r="K3" s="626"/>
      <c r="L3" s="636"/>
    </row>
    <row r="4" spans="2:12" ht="18.75" customHeight="1" thickBot="1" x14ac:dyDescent="0.35">
      <c r="B4" s="655" t="s">
        <v>199</v>
      </c>
      <c r="C4" s="621"/>
      <c r="D4" s="621"/>
      <c r="E4" s="621"/>
      <c r="F4" s="621"/>
      <c r="G4" s="621"/>
      <c r="H4" s="621"/>
      <c r="I4" s="621"/>
      <c r="J4" s="621"/>
      <c r="K4" s="626"/>
      <c r="L4" s="636"/>
    </row>
    <row r="5" spans="2:12" ht="16.2" thickBot="1" x14ac:dyDescent="0.35">
      <c r="B5" s="643" t="s">
        <v>196</v>
      </c>
      <c r="C5" s="624">
        <v>50000</v>
      </c>
      <c r="D5" s="656" t="s">
        <v>186</v>
      </c>
      <c r="E5" s="626"/>
      <c r="F5" s="626"/>
      <c r="G5" s="626"/>
      <c r="H5" s="626"/>
      <c r="I5" s="621"/>
      <c r="J5" s="621"/>
      <c r="K5" s="626"/>
      <c r="L5" s="636"/>
    </row>
    <row r="6" spans="2:12" ht="6.75" customHeight="1" thickBot="1" x14ac:dyDescent="0.35">
      <c r="B6" s="644"/>
      <c r="C6" s="657"/>
      <c r="D6" s="656"/>
      <c r="E6" s="626"/>
      <c r="F6" s="626"/>
      <c r="G6" s="626"/>
      <c r="H6" s="626"/>
      <c r="I6" s="626"/>
      <c r="J6" s="621"/>
      <c r="K6" s="626"/>
      <c r="L6" s="636"/>
    </row>
    <row r="7" spans="2:12" ht="16.2" thickBot="1" x14ac:dyDescent="0.35">
      <c r="B7" s="648" t="s">
        <v>195</v>
      </c>
      <c r="C7" s="623">
        <v>100000</v>
      </c>
      <c r="D7" s="656" t="s">
        <v>186</v>
      </c>
      <c r="E7" s="626"/>
      <c r="F7" s="626"/>
      <c r="G7" s="626"/>
      <c r="H7" s="626"/>
      <c r="I7" s="626"/>
      <c r="J7" s="621"/>
      <c r="K7" s="626"/>
      <c r="L7" s="636"/>
    </row>
    <row r="8" spans="2:12" ht="7.5" customHeight="1" thickBot="1" x14ac:dyDescent="0.35">
      <c r="B8" s="644"/>
      <c r="C8" s="657"/>
      <c r="D8" s="656"/>
      <c r="E8" s="626"/>
      <c r="F8" s="626"/>
      <c r="G8" s="626"/>
      <c r="H8" s="626"/>
      <c r="I8" s="626"/>
      <c r="J8" s="626"/>
      <c r="K8" s="626"/>
      <c r="L8" s="636"/>
    </row>
    <row r="9" spans="2:12" ht="16.2" thickBot="1" x14ac:dyDescent="0.35">
      <c r="B9" s="671" t="s">
        <v>197</v>
      </c>
      <c r="C9" s="627">
        <v>70000</v>
      </c>
      <c r="D9" s="656" t="s">
        <v>186</v>
      </c>
      <c r="E9" s="626"/>
      <c r="F9" s="626"/>
      <c r="G9" s="626"/>
      <c r="H9" s="626"/>
      <c r="I9" s="626"/>
      <c r="J9" s="626"/>
      <c r="K9" s="626"/>
      <c r="L9" s="636"/>
    </row>
    <row r="10" spans="2:12" ht="16.2" thickBot="1" x14ac:dyDescent="0.35">
      <c r="B10" s="658" t="s">
        <v>185</v>
      </c>
      <c r="C10" s="626"/>
      <c r="D10" s="626"/>
      <c r="E10" s="626"/>
      <c r="F10" s="626"/>
      <c r="G10" s="626"/>
      <c r="H10" s="626"/>
      <c r="I10" s="626"/>
      <c r="J10" s="626"/>
      <c r="K10" s="628">
        <v>440000</v>
      </c>
      <c r="L10" s="659" t="s">
        <v>186</v>
      </c>
    </row>
    <row r="11" spans="2:12" x14ac:dyDescent="0.3">
      <c r="B11" s="658" t="s">
        <v>184</v>
      </c>
      <c r="C11" s="626"/>
      <c r="D11" s="626"/>
      <c r="E11" s="626"/>
      <c r="F11" s="626"/>
      <c r="G11" s="626"/>
      <c r="H11" s="626"/>
      <c r="I11" s="626"/>
      <c r="J11" s="626"/>
      <c r="K11" s="626"/>
      <c r="L11" s="636"/>
    </row>
    <row r="12" spans="2:12" x14ac:dyDescent="0.3">
      <c r="B12" s="660" t="s">
        <v>200</v>
      </c>
      <c r="C12" s="626"/>
      <c r="D12" s="626"/>
      <c r="E12" s="626"/>
      <c r="F12" s="626"/>
      <c r="G12" s="626"/>
      <c r="H12" s="661" t="str">
        <f>CONCATENATE(C5," + ", C7," + ", C9," =  ")</f>
        <v xml:space="preserve">50000 + 100000 + 70000 =  </v>
      </c>
      <c r="I12" s="626"/>
      <c r="J12" s="626"/>
      <c r="K12" s="674">
        <f>C5+C7+C9</f>
        <v>220000</v>
      </c>
      <c r="L12" s="636"/>
    </row>
    <row r="13" spans="2:12" ht="16.2" thickBot="1" x14ac:dyDescent="0.35">
      <c r="B13" s="660" t="s">
        <v>187</v>
      </c>
      <c r="C13" s="626"/>
      <c r="D13" s="626"/>
      <c r="E13" s="626"/>
      <c r="F13" s="626"/>
      <c r="G13" s="626"/>
      <c r="H13" s="662"/>
      <c r="I13" s="663"/>
      <c r="J13" s="663"/>
      <c r="K13" s="663"/>
      <c r="L13" s="636"/>
    </row>
    <row r="14" spans="2:12" x14ac:dyDescent="0.3">
      <c r="B14" s="641" t="s">
        <v>188</v>
      </c>
      <c r="C14" s="642" t="s">
        <v>189</v>
      </c>
      <c r="D14" s="642"/>
      <c r="E14" s="642" t="s">
        <v>198</v>
      </c>
      <c r="F14" s="635"/>
      <c r="G14" s="626"/>
      <c r="H14" s="646" t="s">
        <v>190</v>
      </c>
      <c r="I14" s="653" t="s">
        <v>189</v>
      </c>
      <c r="J14" s="647"/>
      <c r="K14" s="654" t="s">
        <v>198</v>
      </c>
      <c r="L14" s="636"/>
    </row>
    <row r="15" spans="2:12" x14ac:dyDescent="0.3">
      <c r="B15" s="650" t="s">
        <v>43</v>
      </c>
      <c r="C15" s="625">
        <f>C5</f>
        <v>50000</v>
      </c>
      <c r="D15" s="629"/>
      <c r="E15" s="631" t="s">
        <v>192</v>
      </c>
      <c r="F15" s="636"/>
      <c r="G15" s="626"/>
      <c r="H15" s="651" t="s">
        <v>43</v>
      </c>
      <c r="I15" s="632">
        <f>C7</f>
        <v>100000</v>
      </c>
      <c r="J15" s="626"/>
      <c r="K15" s="652" t="s">
        <v>194</v>
      </c>
      <c r="L15" s="636"/>
    </row>
    <row r="16" spans="2:12" x14ac:dyDescent="0.3">
      <c r="B16" s="650" t="s">
        <v>44</v>
      </c>
      <c r="C16" s="630">
        <f>C5+C7+C9</f>
        <v>220000</v>
      </c>
      <c r="D16" s="629"/>
      <c r="E16" s="664">
        <f>K10</f>
        <v>440000</v>
      </c>
      <c r="F16" s="636"/>
      <c r="G16" s="626"/>
      <c r="H16" s="651" t="s">
        <v>44</v>
      </c>
      <c r="I16" s="630">
        <f>K12</f>
        <v>220000</v>
      </c>
      <c r="J16" s="626"/>
      <c r="K16" s="665">
        <f>K10</f>
        <v>440000</v>
      </c>
      <c r="L16" s="636"/>
    </row>
    <row r="17" spans="2:12" ht="5.25" customHeight="1" x14ac:dyDescent="0.3">
      <c r="B17" s="644"/>
      <c r="C17" s="626"/>
      <c r="D17" s="626"/>
      <c r="E17" s="626"/>
      <c r="F17" s="636"/>
      <c r="G17" s="626"/>
      <c r="H17" s="637"/>
      <c r="I17" s="626"/>
      <c r="J17" s="626"/>
      <c r="K17" s="636"/>
      <c r="L17" s="636"/>
    </row>
    <row r="18" spans="2:12" ht="15" customHeight="1" thickBot="1" x14ac:dyDescent="0.35">
      <c r="B18" s="638"/>
      <c r="C18" s="645" t="str">
        <f>CONCATENATE(E15,"=(",C5,"x",K10,")/",K12,"=",(C5*K10/K12))</f>
        <v xml:space="preserve"> xA=(50000x440000)/220000=100000</v>
      </c>
      <c r="D18" s="639"/>
      <c r="E18" s="639"/>
      <c r="F18" s="640"/>
      <c r="G18" s="626"/>
      <c r="H18" s="638"/>
      <c r="I18" s="649" t="str">
        <f>CONCATENATE(K15,"=(",C7,"x",K10,")/",K12,"=",(C7*K10/K12))</f>
        <v xml:space="preserve"> xB=(100000x440000)/220000=200000</v>
      </c>
      <c r="J18" s="639"/>
      <c r="K18" s="640"/>
      <c r="L18" s="636"/>
    </row>
    <row r="19" spans="2:12" ht="9" customHeight="1" thickBot="1" x14ac:dyDescent="0.35">
      <c r="B19" s="637"/>
      <c r="C19" s="626"/>
      <c r="D19" s="626"/>
      <c r="E19" s="626"/>
      <c r="F19" s="626"/>
      <c r="G19" s="626"/>
      <c r="H19" s="626"/>
      <c r="I19" s="626"/>
      <c r="J19" s="626"/>
      <c r="K19" s="626"/>
      <c r="L19" s="636"/>
    </row>
    <row r="20" spans="2:12" ht="12.75" customHeight="1" x14ac:dyDescent="0.3">
      <c r="B20" s="666" t="s">
        <v>191</v>
      </c>
      <c r="C20" s="667" t="s">
        <v>189</v>
      </c>
      <c r="D20" s="668"/>
      <c r="E20" s="672" t="s">
        <v>198</v>
      </c>
      <c r="F20" s="635"/>
      <c r="G20" s="626"/>
      <c r="H20" s="626"/>
      <c r="I20" s="626"/>
      <c r="J20" s="626"/>
      <c r="K20" s="626"/>
      <c r="L20" s="636"/>
    </row>
    <row r="21" spans="2:12" x14ac:dyDescent="0.3">
      <c r="B21" s="673" t="s">
        <v>43</v>
      </c>
      <c r="C21" s="633">
        <f>C9</f>
        <v>70000</v>
      </c>
      <c r="D21" s="629"/>
      <c r="E21" s="633" t="s">
        <v>193</v>
      </c>
      <c r="F21" s="636"/>
      <c r="G21" s="626"/>
      <c r="H21" s="626"/>
      <c r="I21" s="626"/>
      <c r="J21" s="626"/>
      <c r="K21" s="626"/>
      <c r="L21" s="636"/>
    </row>
    <row r="22" spans="2:12" ht="18" customHeight="1" x14ac:dyDescent="0.3">
      <c r="B22" s="673" t="s">
        <v>44</v>
      </c>
      <c r="C22" s="630">
        <f>K12</f>
        <v>220000</v>
      </c>
      <c r="D22" s="629"/>
      <c r="E22" s="664">
        <f>K10</f>
        <v>440000</v>
      </c>
      <c r="F22" s="636"/>
      <c r="G22" s="626"/>
      <c r="H22" s="626"/>
      <c r="I22" s="626"/>
      <c r="J22" s="626"/>
      <c r="K22" s="626"/>
      <c r="L22" s="636"/>
    </row>
    <row r="23" spans="2:12" ht="6" customHeight="1" x14ac:dyDescent="0.3">
      <c r="B23" s="637"/>
      <c r="C23" s="626"/>
      <c r="D23" s="626"/>
      <c r="E23" s="626"/>
      <c r="F23" s="636"/>
      <c r="G23" s="626"/>
      <c r="H23" s="626"/>
      <c r="I23" s="626"/>
      <c r="J23" s="626"/>
      <c r="K23" s="626"/>
      <c r="L23" s="636"/>
    </row>
    <row r="24" spans="2:12" s="634" customFormat="1" ht="16.2" thickBot="1" x14ac:dyDescent="0.35">
      <c r="B24" s="669" t="str">
        <f>CONCATENATE(E21,"=(",C9,"x",K10,")/",K12,"=",(C9*K10/K12))</f>
        <v xml:space="preserve"> xC=(70000x440000)/220000=140000</v>
      </c>
      <c r="C24" s="670"/>
      <c r="D24" s="670"/>
      <c r="E24" s="670"/>
      <c r="F24" s="640"/>
      <c r="G24" s="639"/>
      <c r="H24" s="639"/>
      <c r="I24" s="639"/>
      <c r="J24" s="639"/>
      <c r="K24" s="639"/>
      <c r="L24" s="640"/>
    </row>
    <row r="25" spans="2:12" s="634" customFormat="1" x14ac:dyDescent="0.3"/>
    <row r="26" spans="2:12" s="634" customFormat="1" x14ac:dyDescent="0.3"/>
    <row r="27" spans="2:12" s="634" customFormat="1" x14ac:dyDescent="0.3"/>
    <row r="28" spans="2:12" s="634" customFormat="1" x14ac:dyDescent="0.3"/>
    <row r="29" spans="2:12" s="634" customFormat="1" x14ac:dyDescent="0.3"/>
    <row r="30" spans="2:12" s="634" customFormat="1" x14ac:dyDescent="0.3"/>
    <row r="31" spans="2:12" s="634" customFormat="1" x14ac:dyDescent="0.3"/>
    <row r="32" spans="2:12" s="634" customFormat="1" x14ac:dyDescent="0.3"/>
    <row r="33" s="634" customFormat="1" x14ac:dyDescent="0.3"/>
    <row r="34" s="634" customFormat="1" x14ac:dyDescent="0.3"/>
    <row r="35" s="634" customFormat="1" x14ac:dyDescent="0.3"/>
    <row r="36" s="634" customFormat="1" x14ac:dyDescent="0.3"/>
    <row r="37" s="634" customFormat="1" x14ac:dyDescent="0.3"/>
    <row r="38" s="634" customFormat="1" x14ac:dyDescent="0.3"/>
    <row r="39" s="634" customFormat="1" x14ac:dyDescent="0.3"/>
    <row r="40" s="634" customFormat="1" x14ac:dyDescent="0.3"/>
  </sheetData>
  <mergeCells count="1">
    <mergeCell ref="C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/>
  <dimension ref="B2:J13"/>
  <sheetViews>
    <sheetView workbookViewId="0">
      <selection activeCell="L10" sqref="L10"/>
    </sheetView>
  </sheetViews>
  <sheetFormatPr defaultColWidth="9" defaultRowHeight="15" x14ac:dyDescent="0.25"/>
  <cols>
    <col min="1" max="1" width="2.3984375" style="54" customWidth="1"/>
    <col min="2" max="5" width="9" style="54"/>
    <col min="6" max="6" width="18.3984375" style="54" customWidth="1"/>
    <col min="7" max="9" width="9" style="54"/>
    <col min="10" max="10" width="2.8984375" style="54" customWidth="1"/>
    <col min="11" max="16384" width="9" style="54"/>
  </cols>
  <sheetData>
    <row r="2" spans="2:10" ht="48.75" customHeight="1" thickBot="1" x14ac:dyDescent="0.3">
      <c r="B2" s="2205" t="str">
        <f>CONCATENATE("7) João, Maria  e  Vitor  constituem uma  sociedade  com  os  capitais de R$ ",nucaExluir!C4*350, ",00,    R$ ",nucaExluir!C4*1050, ",00  e  R$ ",nucaExluir!C4*600,",00 respectivamente.  No fim de certo tempo a sociedade apresentou um lucro de R$ ",1000*nucaExluir!C3,",00 . Quanto deste lucro coube a cada sócio? ")</f>
        <v xml:space="preserve">7) João, Maria  e  Vitor  constituem uma  sociedade  com  os  capitais de R$ 31150,00,    R$ 93450,00  e  R$ 53400,00 respectivamente.  No fim de certo tempo a sociedade apresentou um lucro de R$ 45000,00 . Quanto deste lucro coube a cada sócio? </v>
      </c>
      <c r="C2" s="2205"/>
      <c r="D2" s="2205"/>
      <c r="E2" s="2205"/>
      <c r="F2" s="2205"/>
      <c r="G2" s="2205"/>
      <c r="H2" s="2205"/>
      <c r="I2" s="2205"/>
      <c r="J2" s="2205"/>
    </row>
    <row r="3" spans="2:10" ht="15.75" customHeight="1" thickBot="1" x14ac:dyDescent="0.3">
      <c r="B3" s="676" t="s">
        <v>209</v>
      </c>
      <c r="C3" s="676"/>
      <c r="D3" s="676"/>
      <c r="E3" s="680" t="s">
        <v>20</v>
      </c>
      <c r="F3" s="679"/>
      <c r="G3" s="676" t="str">
        <f>IF(F3="","",IF(ABS(F3-nucaExluir!C4*350/(nucaExluir!C4*2000)*(1000*nucaExluir!C3 ))&lt;6,"Correto!","Refaça os cálculos!"))</f>
        <v/>
      </c>
      <c r="H3" s="676"/>
      <c r="I3" s="676"/>
      <c r="J3" s="678"/>
    </row>
    <row r="4" spans="2:10" ht="15.6" thickBot="1" x14ac:dyDescent="0.3">
      <c r="B4" s="676" t="s">
        <v>210</v>
      </c>
      <c r="C4" s="676"/>
      <c r="D4" s="676"/>
      <c r="E4" s="680" t="s">
        <v>20</v>
      </c>
      <c r="F4" s="679"/>
      <c r="G4" s="676" t="str">
        <f>IF(F4="","",IF(ABS(F4-(nucaExluir!C4*1050/(nucaExluir!C4*2000))*(1000*nucaExluir!C3 ))&lt;6,"Correto!","Refaça os cálculos!"))</f>
        <v/>
      </c>
      <c r="H4" s="676"/>
      <c r="I4" s="676"/>
      <c r="J4" s="678"/>
    </row>
    <row r="5" spans="2:10" ht="15.6" thickBot="1" x14ac:dyDescent="0.3">
      <c r="B5" s="676" t="s">
        <v>211</v>
      </c>
      <c r="C5" s="676"/>
      <c r="D5" s="676"/>
      <c r="E5" s="680" t="s">
        <v>20</v>
      </c>
      <c r="F5" s="679"/>
      <c r="G5" s="676" t="str">
        <f>IF(F5="","",IF(ABS(F5-(nucaExluir!C4*600/(nucaExluir!C4*2000))*(1000*nucaExluir!C3 ))&lt;6,"Correto!","Refaça os cálculos!"))</f>
        <v/>
      </c>
      <c r="H5" s="676"/>
      <c r="I5" s="676"/>
      <c r="J5" s="678"/>
    </row>
    <row r="6" spans="2:10" ht="96" customHeight="1" x14ac:dyDescent="0.25">
      <c r="B6" s="678"/>
      <c r="C6" s="678"/>
      <c r="D6" s="678"/>
      <c r="E6" s="678"/>
      <c r="F6" s="678"/>
      <c r="G6" s="678"/>
      <c r="H6" s="678"/>
      <c r="I6" s="678"/>
      <c r="J6" s="678"/>
    </row>
    <row r="7" spans="2:10" x14ac:dyDescent="0.25">
      <c r="B7" s="678"/>
      <c r="C7" s="678"/>
      <c r="D7" s="678"/>
      <c r="E7" s="678"/>
      <c r="F7" s="678"/>
      <c r="G7" s="678"/>
      <c r="H7" s="678"/>
      <c r="I7" s="678"/>
      <c r="J7" s="678"/>
    </row>
    <row r="8" spans="2:10" x14ac:dyDescent="0.25">
      <c r="B8" s="678"/>
      <c r="C8" s="678"/>
      <c r="D8" s="678"/>
      <c r="E8" s="678"/>
      <c r="F8" s="678"/>
      <c r="G8" s="678"/>
      <c r="H8" s="678"/>
      <c r="I8" s="678"/>
      <c r="J8" s="678"/>
    </row>
    <row r="9" spans="2:10" x14ac:dyDescent="0.25">
      <c r="B9" s="678"/>
      <c r="C9" s="678"/>
      <c r="D9" s="678"/>
      <c r="E9" s="678"/>
      <c r="F9" s="678"/>
      <c r="G9" s="678"/>
      <c r="H9" s="678"/>
      <c r="I9" s="678"/>
      <c r="J9" s="678"/>
    </row>
    <row r="10" spans="2:10" x14ac:dyDescent="0.25">
      <c r="B10" s="678"/>
      <c r="C10" s="678"/>
      <c r="D10" s="678"/>
      <c r="E10" s="678"/>
      <c r="F10" s="678"/>
      <c r="G10" s="678"/>
      <c r="H10" s="678"/>
      <c r="I10" s="678"/>
      <c r="J10" s="678"/>
    </row>
    <row r="11" spans="2:10" x14ac:dyDescent="0.25">
      <c r="B11" s="678"/>
      <c r="C11" s="678"/>
      <c r="D11" s="678"/>
      <c r="E11" s="678"/>
      <c r="F11" s="678"/>
      <c r="G11" s="678"/>
      <c r="H11" s="678"/>
      <c r="I11" s="678"/>
      <c r="J11" s="678"/>
    </row>
    <row r="12" spans="2:10" x14ac:dyDescent="0.25">
      <c r="B12" s="678"/>
      <c r="C12" s="678"/>
      <c r="D12" s="678"/>
      <c r="E12" s="678"/>
      <c r="F12" s="678"/>
      <c r="G12" s="678"/>
      <c r="H12" s="678"/>
      <c r="I12" s="678"/>
      <c r="J12" s="678"/>
    </row>
    <row r="13" spans="2:10" x14ac:dyDescent="0.25">
      <c r="B13" s="678"/>
      <c r="C13" s="678"/>
      <c r="D13" s="678"/>
      <c r="E13" s="678"/>
      <c r="F13" s="678"/>
      <c r="G13" s="678"/>
      <c r="H13" s="678"/>
      <c r="I13" s="678"/>
      <c r="J13" s="678"/>
    </row>
  </sheetData>
  <mergeCells count="1">
    <mergeCell ref="B2:J2"/>
  </mergeCells>
  <pageMargins left="0.511811024" right="0.511811024" top="0.78740157499999996" bottom="0.78740157499999996" header="0.31496062000000002" footer="0.3149606200000000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/>
  <dimension ref="A1:HU156"/>
  <sheetViews>
    <sheetView workbookViewId="0">
      <selection activeCell="L27" sqref="L27"/>
    </sheetView>
  </sheetViews>
  <sheetFormatPr defaultRowHeight="17.399999999999999" x14ac:dyDescent="0.3"/>
  <cols>
    <col min="1" max="1" width="5.59765625" style="176" customWidth="1"/>
    <col min="2" max="2" width="11.09765625" style="88" customWidth="1"/>
    <col min="3" max="3" width="9" style="88" customWidth="1"/>
    <col min="4" max="4" width="10.3984375" style="89" customWidth="1"/>
    <col min="5" max="5" width="5.09765625" style="89" customWidth="1"/>
    <col min="6" max="6" width="9.59765625" style="90" customWidth="1"/>
    <col min="7" max="7" width="4" style="88" customWidth="1"/>
    <col min="8" max="8" width="7.3984375" style="88" customWidth="1"/>
    <col min="9" max="9" width="7.69921875" style="88" customWidth="1"/>
    <col min="10" max="10" width="11.5" style="91" customWidth="1"/>
    <col min="11" max="11" width="1.19921875" style="182" customWidth="1"/>
    <col min="12" max="12" width="8.69921875" style="182" bestFit="1" customWidth="1"/>
    <col min="13" max="29" width="9" style="175"/>
    <col min="30" max="103" width="9" style="92"/>
    <col min="104" max="229" width="9" style="93"/>
    <col min="230" max="257" width="9" style="87"/>
    <col min="258" max="258" width="11.09765625" style="87" customWidth="1"/>
    <col min="259" max="259" width="9" style="87" customWidth="1"/>
    <col min="260" max="260" width="10.3984375" style="87" customWidth="1"/>
    <col min="261" max="261" width="5.09765625" style="87" customWidth="1"/>
    <col min="262" max="262" width="15" style="87" customWidth="1"/>
    <col min="263" max="263" width="4" style="87" customWidth="1"/>
    <col min="264" max="264" width="7.3984375" style="87" customWidth="1"/>
    <col min="265" max="265" width="3.09765625" style="87" customWidth="1"/>
    <col min="266" max="266" width="9" style="87"/>
    <col min="267" max="267" width="4.3984375" style="87" customWidth="1"/>
    <col min="268" max="268" width="8.69921875" style="87" bestFit="1" customWidth="1"/>
    <col min="269" max="513" width="9" style="87"/>
    <col min="514" max="514" width="11.09765625" style="87" customWidth="1"/>
    <col min="515" max="515" width="9" style="87" customWidth="1"/>
    <col min="516" max="516" width="10.3984375" style="87" customWidth="1"/>
    <col min="517" max="517" width="5.09765625" style="87" customWidth="1"/>
    <col min="518" max="518" width="15" style="87" customWidth="1"/>
    <col min="519" max="519" width="4" style="87" customWidth="1"/>
    <col min="520" max="520" width="7.3984375" style="87" customWidth="1"/>
    <col min="521" max="521" width="3.09765625" style="87" customWidth="1"/>
    <col min="522" max="522" width="9" style="87"/>
    <col min="523" max="523" width="4.3984375" style="87" customWidth="1"/>
    <col min="524" max="524" width="8.69921875" style="87" bestFit="1" customWidth="1"/>
    <col min="525" max="769" width="9" style="87"/>
    <col min="770" max="770" width="11.09765625" style="87" customWidth="1"/>
    <col min="771" max="771" width="9" style="87" customWidth="1"/>
    <col min="772" max="772" width="10.3984375" style="87" customWidth="1"/>
    <col min="773" max="773" width="5.09765625" style="87" customWidth="1"/>
    <col min="774" max="774" width="15" style="87" customWidth="1"/>
    <col min="775" max="775" width="4" style="87" customWidth="1"/>
    <col min="776" max="776" width="7.3984375" style="87" customWidth="1"/>
    <col min="777" max="777" width="3.09765625" style="87" customWidth="1"/>
    <col min="778" max="778" width="9" style="87"/>
    <col min="779" max="779" width="4.3984375" style="87" customWidth="1"/>
    <col min="780" max="780" width="8.69921875" style="87" bestFit="1" customWidth="1"/>
    <col min="781" max="1025" width="9" style="87"/>
    <col min="1026" max="1026" width="11.09765625" style="87" customWidth="1"/>
    <col min="1027" max="1027" width="9" style="87" customWidth="1"/>
    <col min="1028" max="1028" width="10.3984375" style="87" customWidth="1"/>
    <col min="1029" max="1029" width="5.09765625" style="87" customWidth="1"/>
    <col min="1030" max="1030" width="15" style="87" customWidth="1"/>
    <col min="1031" max="1031" width="4" style="87" customWidth="1"/>
    <col min="1032" max="1032" width="7.3984375" style="87" customWidth="1"/>
    <col min="1033" max="1033" width="3.09765625" style="87" customWidth="1"/>
    <col min="1034" max="1034" width="9" style="87"/>
    <col min="1035" max="1035" width="4.3984375" style="87" customWidth="1"/>
    <col min="1036" max="1036" width="8.69921875" style="87" bestFit="1" customWidth="1"/>
    <col min="1037" max="1281" width="9" style="87"/>
    <col min="1282" max="1282" width="11.09765625" style="87" customWidth="1"/>
    <col min="1283" max="1283" width="9" style="87" customWidth="1"/>
    <col min="1284" max="1284" width="10.3984375" style="87" customWidth="1"/>
    <col min="1285" max="1285" width="5.09765625" style="87" customWidth="1"/>
    <col min="1286" max="1286" width="15" style="87" customWidth="1"/>
    <col min="1287" max="1287" width="4" style="87" customWidth="1"/>
    <col min="1288" max="1288" width="7.3984375" style="87" customWidth="1"/>
    <col min="1289" max="1289" width="3.09765625" style="87" customWidth="1"/>
    <col min="1290" max="1290" width="9" style="87"/>
    <col min="1291" max="1291" width="4.3984375" style="87" customWidth="1"/>
    <col min="1292" max="1292" width="8.69921875" style="87" bestFit="1" customWidth="1"/>
    <col min="1293" max="1537" width="9" style="87"/>
    <col min="1538" max="1538" width="11.09765625" style="87" customWidth="1"/>
    <col min="1539" max="1539" width="9" style="87" customWidth="1"/>
    <col min="1540" max="1540" width="10.3984375" style="87" customWidth="1"/>
    <col min="1541" max="1541" width="5.09765625" style="87" customWidth="1"/>
    <col min="1542" max="1542" width="15" style="87" customWidth="1"/>
    <col min="1543" max="1543" width="4" style="87" customWidth="1"/>
    <col min="1544" max="1544" width="7.3984375" style="87" customWidth="1"/>
    <col min="1545" max="1545" width="3.09765625" style="87" customWidth="1"/>
    <col min="1546" max="1546" width="9" style="87"/>
    <col min="1547" max="1547" width="4.3984375" style="87" customWidth="1"/>
    <col min="1548" max="1548" width="8.69921875" style="87" bestFit="1" customWidth="1"/>
    <col min="1549" max="1793" width="9" style="87"/>
    <col min="1794" max="1794" width="11.09765625" style="87" customWidth="1"/>
    <col min="1795" max="1795" width="9" style="87" customWidth="1"/>
    <col min="1796" max="1796" width="10.3984375" style="87" customWidth="1"/>
    <col min="1797" max="1797" width="5.09765625" style="87" customWidth="1"/>
    <col min="1798" max="1798" width="15" style="87" customWidth="1"/>
    <col min="1799" max="1799" width="4" style="87" customWidth="1"/>
    <col min="1800" max="1800" width="7.3984375" style="87" customWidth="1"/>
    <col min="1801" max="1801" width="3.09765625" style="87" customWidth="1"/>
    <col min="1802" max="1802" width="9" style="87"/>
    <col min="1803" max="1803" width="4.3984375" style="87" customWidth="1"/>
    <col min="1804" max="1804" width="8.69921875" style="87" bestFit="1" customWidth="1"/>
    <col min="1805" max="2049" width="9" style="87"/>
    <col min="2050" max="2050" width="11.09765625" style="87" customWidth="1"/>
    <col min="2051" max="2051" width="9" style="87" customWidth="1"/>
    <col min="2052" max="2052" width="10.3984375" style="87" customWidth="1"/>
    <col min="2053" max="2053" width="5.09765625" style="87" customWidth="1"/>
    <col min="2054" max="2054" width="15" style="87" customWidth="1"/>
    <col min="2055" max="2055" width="4" style="87" customWidth="1"/>
    <col min="2056" max="2056" width="7.3984375" style="87" customWidth="1"/>
    <col min="2057" max="2057" width="3.09765625" style="87" customWidth="1"/>
    <col min="2058" max="2058" width="9" style="87"/>
    <col min="2059" max="2059" width="4.3984375" style="87" customWidth="1"/>
    <col min="2060" max="2060" width="8.69921875" style="87" bestFit="1" customWidth="1"/>
    <col min="2061" max="2305" width="9" style="87"/>
    <col min="2306" max="2306" width="11.09765625" style="87" customWidth="1"/>
    <col min="2307" max="2307" width="9" style="87" customWidth="1"/>
    <col min="2308" max="2308" width="10.3984375" style="87" customWidth="1"/>
    <col min="2309" max="2309" width="5.09765625" style="87" customWidth="1"/>
    <col min="2310" max="2310" width="15" style="87" customWidth="1"/>
    <col min="2311" max="2311" width="4" style="87" customWidth="1"/>
    <col min="2312" max="2312" width="7.3984375" style="87" customWidth="1"/>
    <col min="2313" max="2313" width="3.09765625" style="87" customWidth="1"/>
    <col min="2314" max="2314" width="9" style="87"/>
    <col min="2315" max="2315" width="4.3984375" style="87" customWidth="1"/>
    <col min="2316" max="2316" width="8.69921875" style="87" bestFit="1" customWidth="1"/>
    <col min="2317" max="2561" width="9" style="87"/>
    <col min="2562" max="2562" width="11.09765625" style="87" customWidth="1"/>
    <col min="2563" max="2563" width="9" style="87" customWidth="1"/>
    <col min="2564" max="2564" width="10.3984375" style="87" customWidth="1"/>
    <col min="2565" max="2565" width="5.09765625" style="87" customWidth="1"/>
    <col min="2566" max="2566" width="15" style="87" customWidth="1"/>
    <col min="2567" max="2567" width="4" style="87" customWidth="1"/>
    <col min="2568" max="2568" width="7.3984375" style="87" customWidth="1"/>
    <col min="2569" max="2569" width="3.09765625" style="87" customWidth="1"/>
    <col min="2570" max="2570" width="9" style="87"/>
    <col min="2571" max="2571" width="4.3984375" style="87" customWidth="1"/>
    <col min="2572" max="2572" width="8.69921875" style="87" bestFit="1" customWidth="1"/>
    <col min="2573" max="2817" width="9" style="87"/>
    <col min="2818" max="2818" width="11.09765625" style="87" customWidth="1"/>
    <col min="2819" max="2819" width="9" style="87" customWidth="1"/>
    <col min="2820" max="2820" width="10.3984375" style="87" customWidth="1"/>
    <col min="2821" max="2821" width="5.09765625" style="87" customWidth="1"/>
    <col min="2822" max="2822" width="15" style="87" customWidth="1"/>
    <col min="2823" max="2823" width="4" style="87" customWidth="1"/>
    <col min="2824" max="2824" width="7.3984375" style="87" customWidth="1"/>
    <col min="2825" max="2825" width="3.09765625" style="87" customWidth="1"/>
    <col min="2826" max="2826" width="9" style="87"/>
    <col min="2827" max="2827" width="4.3984375" style="87" customWidth="1"/>
    <col min="2828" max="2828" width="8.69921875" style="87" bestFit="1" customWidth="1"/>
    <col min="2829" max="3073" width="9" style="87"/>
    <col min="3074" max="3074" width="11.09765625" style="87" customWidth="1"/>
    <col min="3075" max="3075" width="9" style="87" customWidth="1"/>
    <col min="3076" max="3076" width="10.3984375" style="87" customWidth="1"/>
    <col min="3077" max="3077" width="5.09765625" style="87" customWidth="1"/>
    <col min="3078" max="3078" width="15" style="87" customWidth="1"/>
    <col min="3079" max="3079" width="4" style="87" customWidth="1"/>
    <col min="3080" max="3080" width="7.3984375" style="87" customWidth="1"/>
    <col min="3081" max="3081" width="3.09765625" style="87" customWidth="1"/>
    <col min="3082" max="3082" width="9" style="87"/>
    <col min="3083" max="3083" width="4.3984375" style="87" customWidth="1"/>
    <col min="3084" max="3084" width="8.69921875" style="87" bestFit="1" customWidth="1"/>
    <col min="3085" max="3329" width="9" style="87"/>
    <col min="3330" max="3330" width="11.09765625" style="87" customWidth="1"/>
    <col min="3331" max="3331" width="9" style="87" customWidth="1"/>
    <col min="3332" max="3332" width="10.3984375" style="87" customWidth="1"/>
    <col min="3333" max="3333" width="5.09765625" style="87" customWidth="1"/>
    <col min="3334" max="3334" width="15" style="87" customWidth="1"/>
    <col min="3335" max="3335" width="4" style="87" customWidth="1"/>
    <col min="3336" max="3336" width="7.3984375" style="87" customWidth="1"/>
    <col min="3337" max="3337" width="3.09765625" style="87" customWidth="1"/>
    <col min="3338" max="3338" width="9" style="87"/>
    <col min="3339" max="3339" width="4.3984375" style="87" customWidth="1"/>
    <col min="3340" max="3340" width="8.69921875" style="87" bestFit="1" customWidth="1"/>
    <col min="3341" max="3585" width="9" style="87"/>
    <col min="3586" max="3586" width="11.09765625" style="87" customWidth="1"/>
    <col min="3587" max="3587" width="9" style="87" customWidth="1"/>
    <col min="3588" max="3588" width="10.3984375" style="87" customWidth="1"/>
    <col min="3589" max="3589" width="5.09765625" style="87" customWidth="1"/>
    <col min="3590" max="3590" width="15" style="87" customWidth="1"/>
    <col min="3591" max="3591" width="4" style="87" customWidth="1"/>
    <col min="3592" max="3592" width="7.3984375" style="87" customWidth="1"/>
    <col min="3593" max="3593" width="3.09765625" style="87" customWidth="1"/>
    <col min="3594" max="3594" width="9" style="87"/>
    <col min="3595" max="3595" width="4.3984375" style="87" customWidth="1"/>
    <col min="3596" max="3596" width="8.69921875" style="87" bestFit="1" customWidth="1"/>
    <col min="3597" max="3841" width="9" style="87"/>
    <col min="3842" max="3842" width="11.09765625" style="87" customWidth="1"/>
    <col min="3843" max="3843" width="9" style="87" customWidth="1"/>
    <col min="3844" max="3844" width="10.3984375" style="87" customWidth="1"/>
    <col min="3845" max="3845" width="5.09765625" style="87" customWidth="1"/>
    <col min="3846" max="3846" width="15" style="87" customWidth="1"/>
    <col min="3847" max="3847" width="4" style="87" customWidth="1"/>
    <col min="3848" max="3848" width="7.3984375" style="87" customWidth="1"/>
    <col min="3849" max="3849" width="3.09765625" style="87" customWidth="1"/>
    <col min="3850" max="3850" width="9" style="87"/>
    <col min="3851" max="3851" width="4.3984375" style="87" customWidth="1"/>
    <col min="3852" max="3852" width="8.69921875" style="87" bestFit="1" customWidth="1"/>
    <col min="3853" max="4097" width="9" style="87"/>
    <col min="4098" max="4098" width="11.09765625" style="87" customWidth="1"/>
    <col min="4099" max="4099" width="9" style="87" customWidth="1"/>
    <col min="4100" max="4100" width="10.3984375" style="87" customWidth="1"/>
    <col min="4101" max="4101" width="5.09765625" style="87" customWidth="1"/>
    <col min="4102" max="4102" width="15" style="87" customWidth="1"/>
    <col min="4103" max="4103" width="4" style="87" customWidth="1"/>
    <col min="4104" max="4104" width="7.3984375" style="87" customWidth="1"/>
    <col min="4105" max="4105" width="3.09765625" style="87" customWidth="1"/>
    <col min="4106" max="4106" width="9" style="87"/>
    <col min="4107" max="4107" width="4.3984375" style="87" customWidth="1"/>
    <col min="4108" max="4108" width="8.69921875" style="87" bestFit="1" customWidth="1"/>
    <col min="4109" max="4353" width="9" style="87"/>
    <col min="4354" max="4354" width="11.09765625" style="87" customWidth="1"/>
    <col min="4355" max="4355" width="9" style="87" customWidth="1"/>
    <col min="4356" max="4356" width="10.3984375" style="87" customWidth="1"/>
    <col min="4357" max="4357" width="5.09765625" style="87" customWidth="1"/>
    <col min="4358" max="4358" width="15" style="87" customWidth="1"/>
    <col min="4359" max="4359" width="4" style="87" customWidth="1"/>
    <col min="4360" max="4360" width="7.3984375" style="87" customWidth="1"/>
    <col min="4361" max="4361" width="3.09765625" style="87" customWidth="1"/>
    <col min="4362" max="4362" width="9" style="87"/>
    <col min="4363" max="4363" width="4.3984375" style="87" customWidth="1"/>
    <col min="4364" max="4364" width="8.69921875" style="87" bestFit="1" customWidth="1"/>
    <col min="4365" max="4609" width="9" style="87"/>
    <col min="4610" max="4610" width="11.09765625" style="87" customWidth="1"/>
    <col min="4611" max="4611" width="9" style="87" customWidth="1"/>
    <col min="4612" max="4612" width="10.3984375" style="87" customWidth="1"/>
    <col min="4613" max="4613" width="5.09765625" style="87" customWidth="1"/>
    <col min="4614" max="4614" width="15" style="87" customWidth="1"/>
    <col min="4615" max="4615" width="4" style="87" customWidth="1"/>
    <col min="4616" max="4616" width="7.3984375" style="87" customWidth="1"/>
    <col min="4617" max="4617" width="3.09765625" style="87" customWidth="1"/>
    <col min="4618" max="4618" width="9" style="87"/>
    <col min="4619" max="4619" width="4.3984375" style="87" customWidth="1"/>
    <col min="4620" max="4620" width="8.69921875" style="87" bestFit="1" customWidth="1"/>
    <col min="4621" max="4865" width="9" style="87"/>
    <col min="4866" max="4866" width="11.09765625" style="87" customWidth="1"/>
    <col min="4867" max="4867" width="9" style="87" customWidth="1"/>
    <col min="4868" max="4868" width="10.3984375" style="87" customWidth="1"/>
    <col min="4869" max="4869" width="5.09765625" style="87" customWidth="1"/>
    <col min="4870" max="4870" width="15" style="87" customWidth="1"/>
    <col min="4871" max="4871" width="4" style="87" customWidth="1"/>
    <col min="4872" max="4872" width="7.3984375" style="87" customWidth="1"/>
    <col min="4873" max="4873" width="3.09765625" style="87" customWidth="1"/>
    <col min="4874" max="4874" width="9" style="87"/>
    <col min="4875" max="4875" width="4.3984375" style="87" customWidth="1"/>
    <col min="4876" max="4876" width="8.69921875" style="87" bestFit="1" customWidth="1"/>
    <col min="4877" max="5121" width="9" style="87"/>
    <col min="5122" max="5122" width="11.09765625" style="87" customWidth="1"/>
    <col min="5123" max="5123" width="9" style="87" customWidth="1"/>
    <col min="5124" max="5124" width="10.3984375" style="87" customWidth="1"/>
    <col min="5125" max="5125" width="5.09765625" style="87" customWidth="1"/>
    <col min="5126" max="5126" width="15" style="87" customWidth="1"/>
    <col min="5127" max="5127" width="4" style="87" customWidth="1"/>
    <col min="5128" max="5128" width="7.3984375" style="87" customWidth="1"/>
    <col min="5129" max="5129" width="3.09765625" style="87" customWidth="1"/>
    <col min="5130" max="5130" width="9" style="87"/>
    <col min="5131" max="5131" width="4.3984375" style="87" customWidth="1"/>
    <col min="5132" max="5132" width="8.69921875" style="87" bestFit="1" customWidth="1"/>
    <col min="5133" max="5377" width="9" style="87"/>
    <col min="5378" max="5378" width="11.09765625" style="87" customWidth="1"/>
    <col min="5379" max="5379" width="9" style="87" customWidth="1"/>
    <col min="5380" max="5380" width="10.3984375" style="87" customWidth="1"/>
    <col min="5381" max="5381" width="5.09765625" style="87" customWidth="1"/>
    <col min="5382" max="5382" width="15" style="87" customWidth="1"/>
    <col min="5383" max="5383" width="4" style="87" customWidth="1"/>
    <col min="5384" max="5384" width="7.3984375" style="87" customWidth="1"/>
    <col min="5385" max="5385" width="3.09765625" style="87" customWidth="1"/>
    <col min="5386" max="5386" width="9" style="87"/>
    <col min="5387" max="5387" width="4.3984375" style="87" customWidth="1"/>
    <col min="5388" max="5388" width="8.69921875" style="87" bestFit="1" customWidth="1"/>
    <col min="5389" max="5633" width="9" style="87"/>
    <col min="5634" max="5634" width="11.09765625" style="87" customWidth="1"/>
    <col min="5635" max="5635" width="9" style="87" customWidth="1"/>
    <col min="5636" max="5636" width="10.3984375" style="87" customWidth="1"/>
    <col min="5637" max="5637" width="5.09765625" style="87" customWidth="1"/>
    <col min="5638" max="5638" width="15" style="87" customWidth="1"/>
    <col min="5639" max="5639" width="4" style="87" customWidth="1"/>
    <col min="5640" max="5640" width="7.3984375" style="87" customWidth="1"/>
    <col min="5641" max="5641" width="3.09765625" style="87" customWidth="1"/>
    <col min="5642" max="5642" width="9" style="87"/>
    <col min="5643" max="5643" width="4.3984375" style="87" customWidth="1"/>
    <col min="5644" max="5644" width="8.69921875" style="87" bestFit="1" customWidth="1"/>
    <col min="5645" max="5889" width="9" style="87"/>
    <col min="5890" max="5890" width="11.09765625" style="87" customWidth="1"/>
    <col min="5891" max="5891" width="9" style="87" customWidth="1"/>
    <col min="5892" max="5892" width="10.3984375" style="87" customWidth="1"/>
    <col min="5893" max="5893" width="5.09765625" style="87" customWidth="1"/>
    <col min="5894" max="5894" width="15" style="87" customWidth="1"/>
    <col min="5895" max="5895" width="4" style="87" customWidth="1"/>
    <col min="5896" max="5896" width="7.3984375" style="87" customWidth="1"/>
    <col min="5897" max="5897" width="3.09765625" style="87" customWidth="1"/>
    <col min="5898" max="5898" width="9" style="87"/>
    <col min="5899" max="5899" width="4.3984375" style="87" customWidth="1"/>
    <col min="5900" max="5900" width="8.69921875" style="87" bestFit="1" customWidth="1"/>
    <col min="5901" max="6145" width="9" style="87"/>
    <col min="6146" max="6146" width="11.09765625" style="87" customWidth="1"/>
    <col min="6147" max="6147" width="9" style="87" customWidth="1"/>
    <col min="6148" max="6148" width="10.3984375" style="87" customWidth="1"/>
    <col min="6149" max="6149" width="5.09765625" style="87" customWidth="1"/>
    <col min="6150" max="6150" width="15" style="87" customWidth="1"/>
    <col min="6151" max="6151" width="4" style="87" customWidth="1"/>
    <col min="6152" max="6152" width="7.3984375" style="87" customWidth="1"/>
    <col min="6153" max="6153" width="3.09765625" style="87" customWidth="1"/>
    <col min="6154" max="6154" width="9" style="87"/>
    <col min="6155" max="6155" width="4.3984375" style="87" customWidth="1"/>
    <col min="6156" max="6156" width="8.69921875" style="87" bestFit="1" customWidth="1"/>
    <col min="6157" max="6401" width="9" style="87"/>
    <col min="6402" max="6402" width="11.09765625" style="87" customWidth="1"/>
    <col min="6403" max="6403" width="9" style="87" customWidth="1"/>
    <col min="6404" max="6404" width="10.3984375" style="87" customWidth="1"/>
    <col min="6405" max="6405" width="5.09765625" style="87" customWidth="1"/>
    <col min="6406" max="6406" width="15" style="87" customWidth="1"/>
    <col min="6407" max="6407" width="4" style="87" customWidth="1"/>
    <col min="6408" max="6408" width="7.3984375" style="87" customWidth="1"/>
    <col min="6409" max="6409" width="3.09765625" style="87" customWidth="1"/>
    <col min="6410" max="6410" width="9" style="87"/>
    <col min="6411" max="6411" width="4.3984375" style="87" customWidth="1"/>
    <col min="6412" max="6412" width="8.69921875" style="87" bestFit="1" customWidth="1"/>
    <col min="6413" max="6657" width="9" style="87"/>
    <col min="6658" max="6658" width="11.09765625" style="87" customWidth="1"/>
    <col min="6659" max="6659" width="9" style="87" customWidth="1"/>
    <col min="6660" max="6660" width="10.3984375" style="87" customWidth="1"/>
    <col min="6661" max="6661" width="5.09765625" style="87" customWidth="1"/>
    <col min="6662" max="6662" width="15" style="87" customWidth="1"/>
    <col min="6663" max="6663" width="4" style="87" customWidth="1"/>
    <col min="6664" max="6664" width="7.3984375" style="87" customWidth="1"/>
    <col min="6665" max="6665" width="3.09765625" style="87" customWidth="1"/>
    <col min="6666" max="6666" width="9" style="87"/>
    <col min="6667" max="6667" width="4.3984375" style="87" customWidth="1"/>
    <col min="6668" max="6668" width="8.69921875" style="87" bestFit="1" customWidth="1"/>
    <col min="6669" max="6913" width="9" style="87"/>
    <col min="6914" max="6914" width="11.09765625" style="87" customWidth="1"/>
    <col min="6915" max="6915" width="9" style="87" customWidth="1"/>
    <col min="6916" max="6916" width="10.3984375" style="87" customWidth="1"/>
    <col min="6917" max="6917" width="5.09765625" style="87" customWidth="1"/>
    <col min="6918" max="6918" width="15" style="87" customWidth="1"/>
    <col min="6919" max="6919" width="4" style="87" customWidth="1"/>
    <col min="6920" max="6920" width="7.3984375" style="87" customWidth="1"/>
    <col min="6921" max="6921" width="3.09765625" style="87" customWidth="1"/>
    <col min="6922" max="6922" width="9" style="87"/>
    <col min="6923" max="6923" width="4.3984375" style="87" customWidth="1"/>
    <col min="6924" max="6924" width="8.69921875" style="87" bestFit="1" customWidth="1"/>
    <col min="6925" max="7169" width="9" style="87"/>
    <col min="7170" max="7170" width="11.09765625" style="87" customWidth="1"/>
    <col min="7171" max="7171" width="9" style="87" customWidth="1"/>
    <col min="7172" max="7172" width="10.3984375" style="87" customWidth="1"/>
    <col min="7173" max="7173" width="5.09765625" style="87" customWidth="1"/>
    <col min="7174" max="7174" width="15" style="87" customWidth="1"/>
    <col min="7175" max="7175" width="4" style="87" customWidth="1"/>
    <col min="7176" max="7176" width="7.3984375" style="87" customWidth="1"/>
    <col min="7177" max="7177" width="3.09765625" style="87" customWidth="1"/>
    <col min="7178" max="7178" width="9" style="87"/>
    <col min="7179" max="7179" width="4.3984375" style="87" customWidth="1"/>
    <col min="7180" max="7180" width="8.69921875" style="87" bestFit="1" customWidth="1"/>
    <col min="7181" max="7425" width="9" style="87"/>
    <col min="7426" max="7426" width="11.09765625" style="87" customWidth="1"/>
    <col min="7427" max="7427" width="9" style="87" customWidth="1"/>
    <col min="7428" max="7428" width="10.3984375" style="87" customWidth="1"/>
    <col min="7429" max="7429" width="5.09765625" style="87" customWidth="1"/>
    <col min="7430" max="7430" width="15" style="87" customWidth="1"/>
    <col min="7431" max="7431" width="4" style="87" customWidth="1"/>
    <col min="7432" max="7432" width="7.3984375" style="87" customWidth="1"/>
    <col min="7433" max="7433" width="3.09765625" style="87" customWidth="1"/>
    <col min="7434" max="7434" width="9" style="87"/>
    <col min="7435" max="7435" width="4.3984375" style="87" customWidth="1"/>
    <col min="7436" max="7436" width="8.69921875" style="87" bestFit="1" customWidth="1"/>
    <col min="7437" max="7681" width="9" style="87"/>
    <col min="7682" max="7682" width="11.09765625" style="87" customWidth="1"/>
    <col min="7683" max="7683" width="9" style="87" customWidth="1"/>
    <col min="7684" max="7684" width="10.3984375" style="87" customWidth="1"/>
    <col min="7685" max="7685" width="5.09765625" style="87" customWidth="1"/>
    <col min="7686" max="7686" width="15" style="87" customWidth="1"/>
    <col min="7687" max="7687" width="4" style="87" customWidth="1"/>
    <col min="7688" max="7688" width="7.3984375" style="87" customWidth="1"/>
    <col min="7689" max="7689" width="3.09765625" style="87" customWidth="1"/>
    <col min="7690" max="7690" width="9" style="87"/>
    <col min="7691" max="7691" width="4.3984375" style="87" customWidth="1"/>
    <col min="7692" max="7692" width="8.69921875" style="87" bestFit="1" customWidth="1"/>
    <col min="7693" max="7937" width="9" style="87"/>
    <col min="7938" max="7938" width="11.09765625" style="87" customWidth="1"/>
    <col min="7939" max="7939" width="9" style="87" customWidth="1"/>
    <col min="7940" max="7940" width="10.3984375" style="87" customWidth="1"/>
    <col min="7941" max="7941" width="5.09765625" style="87" customWidth="1"/>
    <col min="7942" max="7942" width="15" style="87" customWidth="1"/>
    <col min="7943" max="7943" width="4" style="87" customWidth="1"/>
    <col min="7944" max="7944" width="7.3984375" style="87" customWidth="1"/>
    <col min="7945" max="7945" width="3.09765625" style="87" customWidth="1"/>
    <col min="7946" max="7946" width="9" style="87"/>
    <col min="7947" max="7947" width="4.3984375" style="87" customWidth="1"/>
    <col min="7948" max="7948" width="8.69921875" style="87" bestFit="1" customWidth="1"/>
    <col min="7949" max="8193" width="9" style="87"/>
    <col min="8194" max="8194" width="11.09765625" style="87" customWidth="1"/>
    <col min="8195" max="8195" width="9" style="87" customWidth="1"/>
    <col min="8196" max="8196" width="10.3984375" style="87" customWidth="1"/>
    <col min="8197" max="8197" width="5.09765625" style="87" customWidth="1"/>
    <col min="8198" max="8198" width="15" style="87" customWidth="1"/>
    <col min="8199" max="8199" width="4" style="87" customWidth="1"/>
    <col min="8200" max="8200" width="7.3984375" style="87" customWidth="1"/>
    <col min="8201" max="8201" width="3.09765625" style="87" customWidth="1"/>
    <col min="8202" max="8202" width="9" style="87"/>
    <col min="8203" max="8203" width="4.3984375" style="87" customWidth="1"/>
    <col min="8204" max="8204" width="8.69921875" style="87" bestFit="1" customWidth="1"/>
    <col min="8205" max="8449" width="9" style="87"/>
    <col min="8450" max="8450" width="11.09765625" style="87" customWidth="1"/>
    <col min="8451" max="8451" width="9" style="87" customWidth="1"/>
    <col min="8452" max="8452" width="10.3984375" style="87" customWidth="1"/>
    <col min="8453" max="8453" width="5.09765625" style="87" customWidth="1"/>
    <col min="8454" max="8454" width="15" style="87" customWidth="1"/>
    <col min="8455" max="8455" width="4" style="87" customWidth="1"/>
    <col min="8456" max="8456" width="7.3984375" style="87" customWidth="1"/>
    <col min="8457" max="8457" width="3.09765625" style="87" customWidth="1"/>
    <col min="8458" max="8458" width="9" style="87"/>
    <col min="8459" max="8459" width="4.3984375" style="87" customWidth="1"/>
    <col min="8460" max="8460" width="8.69921875" style="87" bestFit="1" customWidth="1"/>
    <col min="8461" max="8705" width="9" style="87"/>
    <col min="8706" max="8706" width="11.09765625" style="87" customWidth="1"/>
    <col min="8707" max="8707" width="9" style="87" customWidth="1"/>
    <col min="8708" max="8708" width="10.3984375" style="87" customWidth="1"/>
    <col min="8709" max="8709" width="5.09765625" style="87" customWidth="1"/>
    <col min="8710" max="8710" width="15" style="87" customWidth="1"/>
    <col min="8711" max="8711" width="4" style="87" customWidth="1"/>
    <col min="8712" max="8712" width="7.3984375" style="87" customWidth="1"/>
    <col min="8713" max="8713" width="3.09765625" style="87" customWidth="1"/>
    <col min="8714" max="8714" width="9" style="87"/>
    <col min="8715" max="8715" width="4.3984375" style="87" customWidth="1"/>
    <col min="8716" max="8716" width="8.69921875" style="87" bestFit="1" customWidth="1"/>
    <col min="8717" max="8961" width="9" style="87"/>
    <col min="8962" max="8962" width="11.09765625" style="87" customWidth="1"/>
    <col min="8963" max="8963" width="9" style="87" customWidth="1"/>
    <col min="8964" max="8964" width="10.3984375" style="87" customWidth="1"/>
    <col min="8965" max="8965" width="5.09765625" style="87" customWidth="1"/>
    <col min="8966" max="8966" width="15" style="87" customWidth="1"/>
    <col min="8967" max="8967" width="4" style="87" customWidth="1"/>
    <col min="8968" max="8968" width="7.3984375" style="87" customWidth="1"/>
    <col min="8969" max="8969" width="3.09765625" style="87" customWidth="1"/>
    <col min="8970" max="8970" width="9" style="87"/>
    <col min="8971" max="8971" width="4.3984375" style="87" customWidth="1"/>
    <col min="8972" max="8972" width="8.69921875" style="87" bestFit="1" customWidth="1"/>
    <col min="8973" max="9217" width="9" style="87"/>
    <col min="9218" max="9218" width="11.09765625" style="87" customWidth="1"/>
    <col min="9219" max="9219" width="9" style="87" customWidth="1"/>
    <col min="9220" max="9220" width="10.3984375" style="87" customWidth="1"/>
    <col min="9221" max="9221" width="5.09765625" style="87" customWidth="1"/>
    <col min="9222" max="9222" width="15" style="87" customWidth="1"/>
    <col min="9223" max="9223" width="4" style="87" customWidth="1"/>
    <col min="9224" max="9224" width="7.3984375" style="87" customWidth="1"/>
    <col min="9225" max="9225" width="3.09765625" style="87" customWidth="1"/>
    <col min="9226" max="9226" width="9" style="87"/>
    <col min="9227" max="9227" width="4.3984375" style="87" customWidth="1"/>
    <col min="9228" max="9228" width="8.69921875" style="87" bestFit="1" customWidth="1"/>
    <col min="9229" max="9473" width="9" style="87"/>
    <col min="9474" max="9474" width="11.09765625" style="87" customWidth="1"/>
    <col min="9475" max="9475" width="9" style="87" customWidth="1"/>
    <col min="9476" max="9476" width="10.3984375" style="87" customWidth="1"/>
    <col min="9477" max="9477" width="5.09765625" style="87" customWidth="1"/>
    <col min="9478" max="9478" width="15" style="87" customWidth="1"/>
    <col min="9479" max="9479" width="4" style="87" customWidth="1"/>
    <col min="9480" max="9480" width="7.3984375" style="87" customWidth="1"/>
    <col min="9481" max="9481" width="3.09765625" style="87" customWidth="1"/>
    <col min="9482" max="9482" width="9" style="87"/>
    <col min="9483" max="9483" width="4.3984375" style="87" customWidth="1"/>
    <col min="9484" max="9484" width="8.69921875" style="87" bestFit="1" customWidth="1"/>
    <col min="9485" max="9729" width="9" style="87"/>
    <col min="9730" max="9730" width="11.09765625" style="87" customWidth="1"/>
    <col min="9731" max="9731" width="9" style="87" customWidth="1"/>
    <col min="9732" max="9732" width="10.3984375" style="87" customWidth="1"/>
    <col min="9733" max="9733" width="5.09765625" style="87" customWidth="1"/>
    <col min="9734" max="9734" width="15" style="87" customWidth="1"/>
    <col min="9735" max="9735" width="4" style="87" customWidth="1"/>
    <col min="9736" max="9736" width="7.3984375" style="87" customWidth="1"/>
    <col min="9737" max="9737" width="3.09765625" style="87" customWidth="1"/>
    <col min="9738" max="9738" width="9" style="87"/>
    <col min="9739" max="9739" width="4.3984375" style="87" customWidth="1"/>
    <col min="9740" max="9740" width="8.69921875" style="87" bestFit="1" customWidth="1"/>
    <col min="9741" max="9985" width="9" style="87"/>
    <col min="9986" max="9986" width="11.09765625" style="87" customWidth="1"/>
    <col min="9987" max="9987" width="9" style="87" customWidth="1"/>
    <col min="9988" max="9988" width="10.3984375" style="87" customWidth="1"/>
    <col min="9989" max="9989" width="5.09765625" style="87" customWidth="1"/>
    <col min="9990" max="9990" width="15" style="87" customWidth="1"/>
    <col min="9991" max="9991" width="4" style="87" customWidth="1"/>
    <col min="9992" max="9992" width="7.3984375" style="87" customWidth="1"/>
    <col min="9993" max="9993" width="3.09765625" style="87" customWidth="1"/>
    <col min="9994" max="9994" width="9" style="87"/>
    <col min="9995" max="9995" width="4.3984375" style="87" customWidth="1"/>
    <col min="9996" max="9996" width="8.69921875" style="87" bestFit="1" customWidth="1"/>
    <col min="9997" max="10241" width="9" style="87"/>
    <col min="10242" max="10242" width="11.09765625" style="87" customWidth="1"/>
    <col min="10243" max="10243" width="9" style="87" customWidth="1"/>
    <col min="10244" max="10244" width="10.3984375" style="87" customWidth="1"/>
    <col min="10245" max="10245" width="5.09765625" style="87" customWidth="1"/>
    <col min="10246" max="10246" width="15" style="87" customWidth="1"/>
    <col min="10247" max="10247" width="4" style="87" customWidth="1"/>
    <col min="10248" max="10248" width="7.3984375" style="87" customWidth="1"/>
    <col min="10249" max="10249" width="3.09765625" style="87" customWidth="1"/>
    <col min="10250" max="10250" width="9" style="87"/>
    <col min="10251" max="10251" width="4.3984375" style="87" customWidth="1"/>
    <col min="10252" max="10252" width="8.69921875" style="87" bestFit="1" customWidth="1"/>
    <col min="10253" max="10497" width="9" style="87"/>
    <col min="10498" max="10498" width="11.09765625" style="87" customWidth="1"/>
    <col min="10499" max="10499" width="9" style="87" customWidth="1"/>
    <col min="10500" max="10500" width="10.3984375" style="87" customWidth="1"/>
    <col min="10501" max="10501" width="5.09765625" style="87" customWidth="1"/>
    <col min="10502" max="10502" width="15" style="87" customWidth="1"/>
    <col min="10503" max="10503" width="4" style="87" customWidth="1"/>
    <col min="10504" max="10504" width="7.3984375" style="87" customWidth="1"/>
    <col min="10505" max="10505" width="3.09765625" style="87" customWidth="1"/>
    <col min="10506" max="10506" width="9" style="87"/>
    <col min="10507" max="10507" width="4.3984375" style="87" customWidth="1"/>
    <col min="10508" max="10508" width="8.69921875" style="87" bestFit="1" customWidth="1"/>
    <col min="10509" max="10753" width="9" style="87"/>
    <col min="10754" max="10754" width="11.09765625" style="87" customWidth="1"/>
    <col min="10755" max="10755" width="9" style="87" customWidth="1"/>
    <col min="10756" max="10756" width="10.3984375" style="87" customWidth="1"/>
    <col min="10757" max="10757" width="5.09765625" style="87" customWidth="1"/>
    <col min="10758" max="10758" width="15" style="87" customWidth="1"/>
    <col min="10759" max="10759" width="4" style="87" customWidth="1"/>
    <col min="10760" max="10760" width="7.3984375" style="87" customWidth="1"/>
    <col min="10761" max="10761" width="3.09765625" style="87" customWidth="1"/>
    <col min="10762" max="10762" width="9" style="87"/>
    <col min="10763" max="10763" width="4.3984375" style="87" customWidth="1"/>
    <col min="10764" max="10764" width="8.69921875" style="87" bestFit="1" customWidth="1"/>
    <col min="10765" max="11009" width="9" style="87"/>
    <col min="11010" max="11010" width="11.09765625" style="87" customWidth="1"/>
    <col min="11011" max="11011" width="9" style="87" customWidth="1"/>
    <col min="11012" max="11012" width="10.3984375" style="87" customWidth="1"/>
    <col min="11013" max="11013" width="5.09765625" style="87" customWidth="1"/>
    <col min="11014" max="11014" width="15" style="87" customWidth="1"/>
    <col min="11015" max="11015" width="4" style="87" customWidth="1"/>
    <col min="11016" max="11016" width="7.3984375" style="87" customWidth="1"/>
    <col min="11017" max="11017" width="3.09765625" style="87" customWidth="1"/>
    <col min="11018" max="11018" width="9" style="87"/>
    <col min="11019" max="11019" width="4.3984375" style="87" customWidth="1"/>
    <col min="11020" max="11020" width="8.69921875" style="87" bestFit="1" customWidth="1"/>
    <col min="11021" max="11265" width="9" style="87"/>
    <col min="11266" max="11266" width="11.09765625" style="87" customWidth="1"/>
    <col min="11267" max="11267" width="9" style="87" customWidth="1"/>
    <col min="11268" max="11268" width="10.3984375" style="87" customWidth="1"/>
    <col min="11269" max="11269" width="5.09765625" style="87" customWidth="1"/>
    <col min="11270" max="11270" width="15" style="87" customWidth="1"/>
    <col min="11271" max="11271" width="4" style="87" customWidth="1"/>
    <col min="11272" max="11272" width="7.3984375" style="87" customWidth="1"/>
    <col min="11273" max="11273" width="3.09765625" style="87" customWidth="1"/>
    <col min="11274" max="11274" width="9" style="87"/>
    <col min="11275" max="11275" width="4.3984375" style="87" customWidth="1"/>
    <col min="11276" max="11276" width="8.69921875" style="87" bestFit="1" customWidth="1"/>
    <col min="11277" max="11521" width="9" style="87"/>
    <col min="11522" max="11522" width="11.09765625" style="87" customWidth="1"/>
    <col min="11523" max="11523" width="9" style="87" customWidth="1"/>
    <col min="11524" max="11524" width="10.3984375" style="87" customWidth="1"/>
    <col min="11525" max="11525" width="5.09765625" style="87" customWidth="1"/>
    <col min="11526" max="11526" width="15" style="87" customWidth="1"/>
    <col min="11527" max="11527" width="4" style="87" customWidth="1"/>
    <col min="11528" max="11528" width="7.3984375" style="87" customWidth="1"/>
    <col min="11529" max="11529" width="3.09765625" style="87" customWidth="1"/>
    <col min="11530" max="11530" width="9" style="87"/>
    <col min="11531" max="11531" width="4.3984375" style="87" customWidth="1"/>
    <col min="11532" max="11532" width="8.69921875" style="87" bestFit="1" customWidth="1"/>
    <col min="11533" max="11777" width="9" style="87"/>
    <col min="11778" max="11778" width="11.09765625" style="87" customWidth="1"/>
    <col min="11779" max="11779" width="9" style="87" customWidth="1"/>
    <col min="11780" max="11780" width="10.3984375" style="87" customWidth="1"/>
    <col min="11781" max="11781" width="5.09765625" style="87" customWidth="1"/>
    <col min="11782" max="11782" width="15" style="87" customWidth="1"/>
    <col min="11783" max="11783" width="4" style="87" customWidth="1"/>
    <col min="11784" max="11784" width="7.3984375" style="87" customWidth="1"/>
    <col min="11785" max="11785" width="3.09765625" style="87" customWidth="1"/>
    <col min="11786" max="11786" width="9" style="87"/>
    <col min="11787" max="11787" width="4.3984375" style="87" customWidth="1"/>
    <col min="11788" max="11788" width="8.69921875" style="87" bestFit="1" customWidth="1"/>
    <col min="11789" max="12033" width="9" style="87"/>
    <col min="12034" max="12034" width="11.09765625" style="87" customWidth="1"/>
    <col min="12035" max="12035" width="9" style="87" customWidth="1"/>
    <col min="12036" max="12036" width="10.3984375" style="87" customWidth="1"/>
    <col min="12037" max="12037" width="5.09765625" style="87" customWidth="1"/>
    <col min="12038" max="12038" width="15" style="87" customWidth="1"/>
    <col min="12039" max="12039" width="4" style="87" customWidth="1"/>
    <col min="12040" max="12040" width="7.3984375" style="87" customWidth="1"/>
    <col min="12041" max="12041" width="3.09765625" style="87" customWidth="1"/>
    <col min="12042" max="12042" width="9" style="87"/>
    <col min="12043" max="12043" width="4.3984375" style="87" customWidth="1"/>
    <col min="12044" max="12044" width="8.69921875" style="87" bestFit="1" customWidth="1"/>
    <col min="12045" max="12289" width="9" style="87"/>
    <col min="12290" max="12290" width="11.09765625" style="87" customWidth="1"/>
    <col min="12291" max="12291" width="9" style="87" customWidth="1"/>
    <col min="12292" max="12292" width="10.3984375" style="87" customWidth="1"/>
    <col min="12293" max="12293" width="5.09765625" style="87" customWidth="1"/>
    <col min="12294" max="12294" width="15" style="87" customWidth="1"/>
    <col min="12295" max="12295" width="4" style="87" customWidth="1"/>
    <col min="12296" max="12296" width="7.3984375" style="87" customWidth="1"/>
    <col min="12297" max="12297" width="3.09765625" style="87" customWidth="1"/>
    <col min="12298" max="12298" width="9" style="87"/>
    <col min="12299" max="12299" width="4.3984375" style="87" customWidth="1"/>
    <col min="12300" max="12300" width="8.69921875" style="87" bestFit="1" customWidth="1"/>
    <col min="12301" max="12545" width="9" style="87"/>
    <col min="12546" max="12546" width="11.09765625" style="87" customWidth="1"/>
    <col min="12547" max="12547" width="9" style="87" customWidth="1"/>
    <col min="12548" max="12548" width="10.3984375" style="87" customWidth="1"/>
    <col min="12549" max="12549" width="5.09765625" style="87" customWidth="1"/>
    <col min="12550" max="12550" width="15" style="87" customWidth="1"/>
    <col min="12551" max="12551" width="4" style="87" customWidth="1"/>
    <col min="12552" max="12552" width="7.3984375" style="87" customWidth="1"/>
    <col min="12553" max="12553" width="3.09765625" style="87" customWidth="1"/>
    <col min="12554" max="12554" width="9" style="87"/>
    <col min="12555" max="12555" width="4.3984375" style="87" customWidth="1"/>
    <col min="12556" max="12556" width="8.69921875" style="87" bestFit="1" customWidth="1"/>
    <col min="12557" max="12801" width="9" style="87"/>
    <col min="12802" max="12802" width="11.09765625" style="87" customWidth="1"/>
    <col min="12803" max="12803" width="9" style="87" customWidth="1"/>
    <col min="12804" max="12804" width="10.3984375" style="87" customWidth="1"/>
    <col min="12805" max="12805" width="5.09765625" style="87" customWidth="1"/>
    <col min="12806" max="12806" width="15" style="87" customWidth="1"/>
    <col min="12807" max="12807" width="4" style="87" customWidth="1"/>
    <col min="12808" max="12808" width="7.3984375" style="87" customWidth="1"/>
    <col min="12809" max="12809" width="3.09765625" style="87" customWidth="1"/>
    <col min="12810" max="12810" width="9" style="87"/>
    <col min="12811" max="12811" width="4.3984375" style="87" customWidth="1"/>
    <col min="12812" max="12812" width="8.69921875" style="87" bestFit="1" customWidth="1"/>
    <col min="12813" max="13057" width="9" style="87"/>
    <col min="13058" max="13058" width="11.09765625" style="87" customWidth="1"/>
    <col min="13059" max="13059" width="9" style="87" customWidth="1"/>
    <col min="13060" max="13060" width="10.3984375" style="87" customWidth="1"/>
    <col min="13061" max="13061" width="5.09765625" style="87" customWidth="1"/>
    <col min="13062" max="13062" width="15" style="87" customWidth="1"/>
    <col min="13063" max="13063" width="4" style="87" customWidth="1"/>
    <col min="13064" max="13064" width="7.3984375" style="87" customWidth="1"/>
    <col min="13065" max="13065" width="3.09765625" style="87" customWidth="1"/>
    <col min="13066" max="13066" width="9" style="87"/>
    <col min="13067" max="13067" width="4.3984375" style="87" customWidth="1"/>
    <col min="13068" max="13068" width="8.69921875" style="87" bestFit="1" customWidth="1"/>
    <col min="13069" max="13313" width="9" style="87"/>
    <col min="13314" max="13314" width="11.09765625" style="87" customWidth="1"/>
    <col min="13315" max="13315" width="9" style="87" customWidth="1"/>
    <col min="13316" max="13316" width="10.3984375" style="87" customWidth="1"/>
    <col min="13317" max="13317" width="5.09765625" style="87" customWidth="1"/>
    <col min="13318" max="13318" width="15" style="87" customWidth="1"/>
    <col min="13319" max="13319" width="4" style="87" customWidth="1"/>
    <col min="13320" max="13320" width="7.3984375" style="87" customWidth="1"/>
    <col min="13321" max="13321" width="3.09765625" style="87" customWidth="1"/>
    <col min="13322" max="13322" width="9" style="87"/>
    <col min="13323" max="13323" width="4.3984375" style="87" customWidth="1"/>
    <col min="13324" max="13324" width="8.69921875" style="87" bestFit="1" customWidth="1"/>
    <col min="13325" max="13569" width="9" style="87"/>
    <col min="13570" max="13570" width="11.09765625" style="87" customWidth="1"/>
    <col min="13571" max="13571" width="9" style="87" customWidth="1"/>
    <col min="13572" max="13572" width="10.3984375" style="87" customWidth="1"/>
    <col min="13573" max="13573" width="5.09765625" style="87" customWidth="1"/>
    <col min="13574" max="13574" width="15" style="87" customWidth="1"/>
    <col min="13575" max="13575" width="4" style="87" customWidth="1"/>
    <col min="13576" max="13576" width="7.3984375" style="87" customWidth="1"/>
    <col min="13577" max="13577" width="3.09765625" style="87" customWidth="1"/>
    <col min="13578" max="13578" width="9" style="87"/>
    <col min="13579" max="13579" width="4.3984375" style="87" customWidth="1"/>
    <col min="13580" max="13580" width="8.69921875" style="87" bestFit="1" customWidth="1"/>
    <col min="13581" max="13825" width="9" style="87"/>
    <col min="13826" max="13826" width="11.09765625" style="87" customWidth="1"/>
    <col min="13827" max="13827" width="9" style="87" customWidth="1"/>
    <col min="13828" max="13828" width="10.3984375" style="87" customWidth="1"/>
    <col min="13829" max="13829" width="5.09765625" style="87" customWidth="1"/>
    <col min="13830" max="13830" width="15" style="87" customWidth="1"/>
    <col min="13831" max="13831" width="4" style="87" customWidth="1"/>
    <col min="13832" max="13832" width="7.3984375" style="87" customWidth="1"/>
    <col min="13833" max="13833" width="3.09765625" style="87" customWidth="1"/>
    <col min="13834" max="13834" width="9" style="87"/>
    <col min="13835" max="13835" width="4.3984375" style="87" customWidth="1"/>
    <col min="13836" max="13836" width="8.69921875" style="87" bestFit="1" customWidth="1"/>
    <col min="13837" max="14081" width="9" style="87"/>
    <col min="14082" max="14082" width="11.09765625" style="87" customWidth="1"/>
    <col min="14083" max="14083" width="9" style="87" customWidth="1"/>
    <col min="14084" max="14084" width="10.3984375" style="87" customWidth="1"/>
    <col min="14085" max="14085" width="5.09765625" style="87" customWidth="1"/>
    <col min="14086" max="14086" width="15" style="87" customWidth="1"/>
    <col min="14087" max="14087" width="4" style="87" customWidth="1"/>
    <col min="14088" max="14088" width="7.3984375" style="87" customWidth="1"/>
    <col min="14089" max="14089" width="3.09765625" style="87" customWidth="1"/>
    <col min="14090" max="14090" width="9" style="87"/>
    <col min="14091" max="14091" width="4.3984375" style="87" customWidth="1"/>
    <col min="14092" max="14092" width="8.69921875" style="87" bestFit="1" customWidth="1"/>
    <col min="14093" max="14337" width="9" style="87"/>
    <col min="14338" max="14338" width="11.09765625" style="87" customWidth="1"/>
    <col min="14339" max="14339" width="9" style="87" customWidth="1"/>
    <col min="14340" max="14340" width="10.3984375" style="87" customWidth="1"/>
    <col min="14341" max="14341" width="5.09765625" style="87" customWidth="1"/>
    <col min="14342" max="14342" width="15" style="87" customWidth="1"/>
    <col min="14343" max="14343" width="4" style="87" customWidth="1"/>
    <col min="14344" max="14344" width="7.3984375" style="87" customWidth="1"/>
    <col min="14345" max="14345" width="3.09765625" style="87" customWidth="1"/>
    <col min="14346" max="14346" width="9" style="87"/>
    <col min="14347" max="14347" width="4.3984375" style="87" customWidth="1"/>
    <col min="14348" max="14348" width="8.69921875" style="87" bestFit="1" customWidth="1"/>
    <col min="14349" max="14593" width="9" style="87"/>
    <col min="14594" max="14594" width="11.09765625" style="87" customWidth="1"/>
    <col min="14595" max="14595" width="9" style="87" customWidth="1"/>
    <col min="14596" max="14596" width="10.3984375" style="87" customWidth="1"/>
    <col min="14597" max="14597" width="5.09765625" style="87" customWidth="1"/>
    <col min="14598" max="14598" width="15" style="87" customWidth="1"/>
    <col min="14599" max="14599" width="4" style="87" customWidth="1"/>
    <col min="14600" max="14600" width="7.3984375" style="87" customWidth="1"/>
    <col min="14601" max="14601" width="3.09765625" style="87" customWidth="1"/>
    <col min="14602" max="14602" width="9" style="87"/>
    <col min="14603" max="14603" width="4.3984375" style="87" customWidth="1"/>
    <col min="14604" max="14604" width="8.69921875" style="87" bestFit="1" customWidth="1"/>
    <col min="14605" max="14849" width="9" style="87"/>
    <col min="14850" max="14850" width="11.09765625" style="87" customWidth="1"/>
    <col min="14851" max="14851" width="9" style="87" customWidth="1"/>
    <col min="14852" max="14852" width="10.3984375" style="87" customWidth="1"/>
    <col min="14853" max="14853" width="5.09765625" style="87" customWidth="1"/>
    <col min="14854" max="14854" width="15" style="87" customWidth="1"/>
    <col min="14855" max="14855" width="4" style="87" customWidth="1"/>
    <col min="14856" max="14856" width="7.3984375" style="87" customWidth="1"/>
    <col min="14857" max="14857" width="3.09765625" style="87" customWidth="1"/>
    <col min="14858" max="14858" width="9" style="87"/>
    <col min="14859" max="14859" width="4.3984375" style="87" customWidth="1"/>
    <col min="14860" max="14860" width="8.69921875" style="87" bestFit="1" customWidth="1"/>
    <col min="14861" max="15105" width="9" style="87"/>
    <col min="15106" max="15106" width="11.09765625" style="87" customWidth="1"/>
    <col min="15107" max="15107" width="9" style="87" customWidth="1"/>
    <col min="15108" max="15108" width="10.3984375" style="87" customWidth="1"/>
    <col min="15109" max="15109" width="5.09765625" style="87" customWidth="1"/>
    <col min="15110" max="15110" width="15" style="87" customWidth="1"/>
    <col min="15111" max="15111" width="4" style="87" customWidth="1"/>
    <col min="15112" max="15112" width="7.3984375" style="87" customWidth="1"/>
    <col min="15113" max="15113" width="3.09765625" style="87" customWidth="1"/>
    <col min="15114" max="15114" width="9" style="87"/>
    <col min="15115" max="15115" width="4.3984375" style="87" customWidth="1"/>
    <col min="15116" max="15116" width="8.69921875" style="87" bestFit="1" customWidth="1"/>
    <col min="15117" max="15361" width="9" style="87"/>
    <col min="15362" max="15362" width="11.09765625" style="87" customWidth="1"/>
    <col min="15363" max="15363" width="9" style="87" customWidth="1"/>
    <col min="15364" max="15364" width="10.3984375" style="87" customWidth="1"/>
    <col min="15365" max="15365" width="5.09765625" style="87" customWidth="1"/>
    <col min="15366" max="15366" width="15" style="87" customWidth="1"/>
    <col min="15367" max="15367" width="4" style="87" customWidth="1"/>
    <col min="15368" max="15368" width="7.3984375" style="87" customWidth="1"/>
    <col min="15369" max="15369" width="3.09765625" style="87" customWidth="1"/>
    <col min="15370" max="15370" width="9" style="87"/>
    <col min="15371" max="15371" width="4.3984375" style="87" customWidth="1"/>
    <col min="15372" max="15372" width="8.69921875" style="87" bestFit="1" customWidth="1"/>
    <col min="15373" max="15617" width="9" style="87"/>
    <col min="15618" max="15618" width="11.09765625" style="87" customWidth="1"/>
    <col min="15619" max="15619" width="9" style="87" customWidth="1"/>
    <col min="15620" max="15620" width="10.3984375" style="87" customWidth="1"/>
    <col min="15621" max="15621" width="5.09765625" style="87" customWidth="1"/>
    <col min="15622" max="15622" width="15" style="87" customWidth="1"/>
    <col min="15623" max="15623" width="4" style="87" customWidth="1"/>
    <col min="15624" max="15624" width="7.3984375" style="87" customWidth="1"/>
    <col min="15625" max="15625" width="3.09765625" style="87" customWidth="1"/>
    <col min="15626" max="15626" width="9" style="87"/>
    <col min="15627" max="15627" width="4.3984375" style="87" customWidth="1"/>
    <col min="15628" max="15628" width="8.69921875" style="87" bestFit="1" customWidth="1"/>
    <col min="15629" max="15873" width="9" style="87"/>
    <col min="15874" max="15874" width="11.09765625" style="87" customWidth="1"/>
    <col min="15875" max="15875" width="9" style="87" customWidth="1"/>
    <col min="15876" max="15876" width="10.3984375" style="87" customWidth="1"/>
    <col min="15877" max="15877" width="5.09765625" style="87" customWidth="1"/>
    <col min="15878" max="15878" width="15" style="87" customWidth="1"/>
    <col min="15879" max="15879" width="4" style="87" customWidth="1"/>
    <col min="15880" max="15880" width="7.3984375" style="87" customWidth="1"/>
    <col min="15881" max="15881" width="3.09765625" style="87" customWidth="1"/>
    <col min="15882" max="15882" width="9" style="87"/>
    <col min="15883" max="15883" width="4.3984375" style="87" customWidth="1"/>
    <col min="15884" max="15884" width="8.69921875" style="87" bestFit="1" customWidth="1"/>
    <col min="15885" max="16129" width="9" style="87"/>
    <col min="16130" max="16130" width="11.09765625" style="87" customWidth="1"/>
    <col min="16131" max="16131" width="9" style="87" customWidth="1"/>
    <col min="16132" max="16132" width="10.3984375" style="87" customWidth="1"/>
    <col min="16133" max="16133" width="5.09765625" style="87" customWidth="1"/>
    <col min="16134" max="16134" width="15" style="87" customWidth="1"/>
    <col min="16135" max="16135" width="4" style="87" customWidth="1"/>
    <col min="16136" max="16136" width="7.3984375" style="87" customWidth="1"/>
    <col min="16137" max="16137" width="3.09765625" style="87" customWidth="1"/>
    <col min="16138" max="16138" width="9" style="87"/>
    <col min="16139" max="16139" width="4.3984375" style="87" customWidth="1"/>
    <col min="16140" max="16140" width="8.69921875" style="87" bestFit="1" customWidth="1"/>
    <col min="16141" max="16384" width="9" style="87"/>
  </cols>
  <sheetData>
    <row r="1" spans="1:229" s="169" customFormat="1" ht="31.5" customHeight="1" x14ac:dyDescent="0.3">
      <c r="B1" s="170"/>
      <c r="E1" s="170"/>
      <c r="F1" s="684" t="s">
        <v>212</v>
      </c>
      <c r="G1" s="170"/>
      <c r="H1" s="170"/>
      <c r="I1" s="170"/>
      <c r="J1" s="171"/>
      <c r="K1" s="172"/>
      <c r="L1" s="172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</row>
    <row r="2" spans="1:229" s="94" customFormat="1" ht="21.75" customHeight="1" thickBot="1" x14ac:dyDescent="0.35">
      <c r="A2" s="174"/>
      <c r="B2" s="101"/>
      <c r="C2" s="133" t="s">
        <v>36</v>
      </c>
      <c r="D2" s="132"/>
      <c r="E2" s="132"/>
      <c r="F2" s="132"/>
      <c r="G2" s="134"/>
      <c r="H2" s="134"/>
      <c r="I2" s="134"/>
      <c r="J2" s="135"/>
      <c r="K2" s="112"/>
      <c r="L2" s="181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</row>
    <row r="3" spans="1:229" s="96" customFormat="1" ht="18" customHeight="1" thickBot="1" x14ac:dyDescent="0.35">
      <c r="A3" s="175"/>
      <c r="B3" s="105"/>
      <c r="C3" s="136" t="s">
        <v>37</v>
      </c>
      <c r="D3" s="137"/>
      <c r="E3" s="132"/>
      <c r="F3" s="132"/>
      <c r="G3" s="134"/>
      <c r="H3" s="134"/>
      <c r="I3" s="134"/>
      <c r="J3" s="135"/>
      <c r="K3" s="184">
        <f>IF(AND(D5&lt;&gt;0,F5&lt;&gt;0,D7&lt;&gt;0,F7&lt;&gt;0),1,0)</f>
        <v>1</v>
      </c>
      <c r="L3" s="182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</row>
    <row r="4" spans="1:229" ht="18.75" customHeight="1" thickBot="1" x14ac:dyDescent="0.35">
      <c r="B4" s="106"/>
      <c r="C4" s="103"/>
      <c r="D4" s="122" t="s">
        <v>43</v>
      </c>
      <c r="E4" s="102"/>
      <c r="F4" s="619" t="s">
        <v>215</v>
      </c>
      <c r="G4" s="103"/>
      <c r="H4" s="103"/>
      <c r="I4" s="103"/>
      <c r="J4" s="104"/>
      <c r="K4" s="184">
        <f>IF(AND(N(D5)&lt;&gt;0,N(F5)&lt;&gt;0,N(D7)&lt;&gt;0,N(F7)&lt;&gt;0),0,1)</f>
        <v>1</v>
      </c>
    </row>
    <row r="5" spans="1:229" ht="15.75" customHeight="1" thickBot="1" x14ac:dyDescent="0.4">
      <c r="B5" s="106" t="s">
        <v>13</v>
      </c>
      <c r="C5" s="107" t="s">
        <v>38</v>
      </c>
      <c r="D5" s="617">
        <v>30</v>
      </c>
      <c r="E5" s="108"/>
      <c r="F5" s="616">
        <v>100</v>
      </c>
      <c r="G5" s="109" t="s">
        <v>39</v>
      </c>
      <c r="H5" s="110" t="s">
        <v>3</v>
      </c>
      <c r="I5" s="111"/>
      <c r="J5" s="112"/>
      <c r="K5" s="112"/>
    </row>
    <row r="6" spans="1:229" ht="15.75" customHeight="1" thickBot="1" x14ac:dyDescent="0.4">
      <c r="B6" s="113"/>
      <c r="C6" s="106"/>
      <c r="D6" s="114" t="s">
        <v>40</v>
      </c>
      <c r="E6" s="115" t="s">
        <v>3</v>
      </c>
      <c r="F6" s="114" t="s">
        <v>40</v>
      </c>
      <c r="G6" s="106"/>
      <c r="H6" s="106"/>
      <c r="I6" s="111"/>
      <c r="J6" s="116"/>
      <c r="K6" s="112"/>
    </row>
    <row r="7" spans="1:229" ht="16.5" customHeight="1" thickBot="1" x14ac:dyDescent="0.4">
      <c r="B7" s="106" t="s">
        <v>20</v>
      </c>
      <c r="C7" s="107" t="s">
        <v>41</v>
      </c>
      <c r="D7" s="616">
        <v>16</v>
      </c>
      <c r="E7" s="108"/>
      <c r="F7" s="618" t="s">
        <v>22</v>
      </c>
      <c r="G7" s="109" t="s">
        <v>39</v>
      </c>
      <c r="H7" s="110" t="s">
        <v>3</v>
      </c>
      <c r="I7" s="111"/>
      <c r="J7" s="116"/>
      <c r="K7" s="112"/>
    </row>
    <row r="8" spans="1:229" ht="5.25" customHeight="1" x14ac:dyDescent="0.35">
      <c r="A8" s="177" t="str">
        <f>IF(AND(N(D5)&lt;&gt;0,N(F5)&lt;&gt;0,N(D7)&lt;&gt;0,N(F7)&lt;&gt;0),"Um dos termos deve ser um termo desconhecido","")</f>
        <v/>
      </c>
      <c r="B8" s="106"/>
      <c r="C8" s="107"/>
      <c r="D8" s="117"/>
      <c r="E8" s="118"/>
      <c r="F8" s="119"/>
      <c r="G8" s="109"/>
      <c r="H8" s="110"/>
      <c r="I8" s="111"/>
      <c r="J8" s="116"/>
      <c r="K8" s="112"/>
    </row>
    <row r="9" spans="1:229" ht="5.25" customHeight="1" x14ac:dyDescent="0.3">
      <c r="A9" s="178" t="str">
        <f>IF(OR(D5=0,F5=0,D7=0,F7=0),"Todos os valores devem ser diferentes de zero","")</f>
        <v/>
      </c>
      <c r="B9" s="111"/>
      <c r="C9" s="120"/>
      <c r="D9" s="121"/>
      <c r="E9" s="122"/>
      <c r="F9" s="123"/>
      <c r="G9" s="124"/>
      <c r="H9" s="124"/>
      <c r="I9" s="111"/>
      <c r="J9" s="116"/>
      <c r="K9" s="112"/>
    </row>
    <row r="10" spans="1:229" s="97" customFormat="1" ht="15.75" customHeight="1" x14ac:dyDescent="0.35">
      <c r="A10" s="179"/>
      <c r="B10" s="140">
        <f>IF(K3+K4=2,D5,"")</f>
        <v>30</v>
      </c>
      <c r="C10" s="141" t="s">
        <v>42</v>
      </c>
      <c r="D10" s="142" t="str">
        <f>IF(K3+K4=2,F7,"")</f>
        <v>x</v>
      </c>
      <c r="E10" s="143" t="str">
        <f>IF(K$3+K$4=2,"=","")</f>
        <v>=</v>
      </c>
      <c r="F10" s="144">
        <f>IF(K3+K4=2,D7,"")</f>
        <v>16</v>
      </c>
      <c r="G10" s="145" t="s">
        <v>42</v>
      </c>
      <c r="H10" s="146">
        <f>IF(K3+K4=2,F5,"")</f>
        <v>100</v>
      </c>
      <c r="I10" s="147"/>
      <c r="J10" s="148"/>
      <c r="K10" s="112"/>
      <c r="L10" s="182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</row>
    <row r="11" spans="1:229" s="100" customFormat="1" ht="15.75" customHeight="1" x14ac:dyDescent="0.35">
      <c r="A11" s="180"/>
      <c r="B11" s="149"/>
      <c r="C11" s="150">
        <f>IF(AND(N(B10)&lt;&gt;0,N(D10)&lt;&gt;0),B10*D10,IF(AND(N(B10)=0,N(D10)=0),B10,IF(AND(N(B10)=0,N(D10)&lt;&gt;0),D10,IF(AND(N(B10)&lt;&gt;0,N(D10)=0),B10))))</f>
        <v>30</v>
      </c>
      <c r="D11" s="151" t="str">
        <f>IF(N(C11)=0,D10,IF(AND(N(B10)=0,N(D10)&lt;&gt;0),B10,IF(AND(N(B10)&lt;&gt;0,N(D10)=0),D10,"")))</f>
        <v>x</v>
      </c>
      <c r="E11" s="143" t="str">
        <f>IF(K$3+K$4=2,"=","")</f>
        <v>=</v>
      </c>
      <c r="F11" s="144">
        <f>IF(AND(N(F10)&lt;&gt;0,N(H10)&lt;&gt;0),F5*D7,IF(AND(N(F10)=0,N(H10)=0),F10,IF(AND(N(F10)=0,N(H10)&lt;&gt;0),H10,IF(AND(N(F10)&lt;&gt;0,N(H10)=0),F10))))</f>
        <v>1600</v>
      </c>
      <c r="G11" s="152" t="str">
        <f>IF(N(F11)=0,H10,IF(AND(N(F10)=0,N(H10)&lt;&gt;0),F10,IF(AND(N(F10)&lt;&gt;0,N(H10)=0),H10,"")))</f>
        <v/>
      </c>
      <c r="H11" s="147"/>
      <c r="I11" s="147"/>
      <c r="J11" s="153"/>
      <c r="K11" s="112"/>
      <c r="L11" s="182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</row>
    <row r="12" spans="1:229" s="197" customFormat="1" ht="14.25" customHeight="1" x14ac:dyDescent="0.35">
      <c r="A12" s="185"/>
      <c r="B12" s="186"/>
      <c r="C12" s="187" t="str">
        <f>IF(D11="",F11,"")</f>
        <v/>
      </c>
      <c r="D12" s="188" t="str">
        <f>IF(D11="",G11,"")</f>
        <v/>
      </c>
      <c r="E12" s="189" t="str">
        <f>IF(D11="","=","")</f>
        <v/>
      </c>
      <c r="F12" s="190" t="str">
        <f>IF(D11="",C11,"")</f>
        <v/>
      </c>
      <c r="G12" s="191"/>
      <c r="H12" s="192"/>
      <c r="I12" s="192"/>
      <c r="J12" s="193"/>
      <c r="K12" s="193"/>
      <c r="L12" s="194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</row>
    <row r="13" spans="1:229" s="197" customFormat="1" ht="14.25" customHeight="1" x14ac:dyDescent="0.35">
      <c r="A13" s="185"/>
      <c r="B13" s="186"/>
      <c r="C13" s="187"/>
      <c r="D13" s="188"/>
      <c r="E13" s="198" t="str">
        <f>IF(AND(K3+K4=2,OR(C11=D11,AND(D11="",F11=G11))),2,"")</f>
        <v/>
      </c>
      <c r="F13" s="190"/>
      <c r="G13" s="199" t="str">
        <f>IF(AND(K3+K4=2,C12="",F11=G11),2,"")</f>
        <v/>
      </c>
      <c r="H13" s="192"/>
      <c r="I13" s="192"/>
      <c r="J13" s="193"/>
      <c r="K13" s="193"/>
      <c r="L13" s="194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</row>
    <row r="14" spans="1:229" s="97" customFormat="1" ht="15.75" customHeight="1" x14ac:dyDescent="0.35">
      <c r="A14" s="179"/>
      <c r="B14" s="154"/>
      <c r="C14" s="155"/>
      <c r="D14" s="156" t="str">
        <f>IF(AND(E13=2,D12="",D11&lt;&gt;""),D11,IF(AND(E13=2,D12&lt;&gt;""),D12,""))</f>
        <v/>
      </c>
      <c r="E14" s="157"/>
      <c r="F14" s="158">
        <f>IF(F12&lt;&gt;"",F12,F11)</f>
        <v>1600</v>
      </c>
      <c r="G14" s="159" t="str">
        <f>IF(OR(G13=2,F12&lt;&gt;""),"",IF(F11&lt;&gt;G11,G11,""))</f>
        <v/>
      </c>
      <c r="H14" s="159"/>
      <c r="I14" s="159"/>
      <c r="J14" s="160"/>
      <c r="K14" s="112"/>
      <c r="L14" s="182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</row>
    <row r="15" spans="1:229" s="97" customFormat="1" ht="15.75" customHeight="1" x14ac:dyDescent="0.35">
      <c r="A15" s="179"/>
      <c r="B15" s="161"/>
      <c r="C15" s="127"/>
      <c r="D15" s="125" t="str">
        <f>IF(AND(D14="",D12="",D11&lt;&gt;0),D11,IF(AND(D14="",D12&lt;&gt;"",E13&lt;&gt;2),D12,""))</f>
        <v>x</v>
      </c>
      <c r="E15" s="108"/>
      <c r="F15" s="138"/>
      <c r="G15" s="109" t="str">
        <f>IF(OR(K3+K4&lt;&gt;2,E13=2),"",IF(G14&lt;&gt;"","   =         -----------", "   =  --------------"))</f>
        <v xml:space="preserve">   =  --------------</v>
      </c>
      <c r="H15" s="111"/>
      <c r="I15" s="111"/>
      <c r="J15" s="162"/>
      <c r="K15" s="112"/>
      <c r="L15" s="182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</row>
    <row r="16" spans="1:229" s="97" customFormat="1" ht="15.75" customHeight="1" x14ac:dyDescent="0.35">
      <c r="A16" s="179"/>
      <c r="B16" s="163"/>
      <c r="C16" s="164"/>
      <c r="D16" s="165"/>
      <c r="E16" s="164"/>
      <c r="F16" s="166">
        <f>IF(AND(C12&lt;&gt;"",C12&lt;&gt;D12),C12,IF(AND(C12="",C11=D11),"",IF(AND(C12="",C11&lt;&gt;D11),C11,"")))</f>
        <v>30</v>
      </c>
      <c r="G16" s="167"/>
      <c r="H16" s="167"/>
      <c r="I16" s="167"/>
      <c r="J16" s="168"/>
      <c r="K16" s="112"/>
      <c r="L16" s="182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</row>
    <row r="17" spans="1:229" s="97" customFormat="1" ht="6.75" customHeight="1" x14ac:dyDescent="0.35">
      <c r="A17" s="179"/>
      <c r="B17" s="127"/>
      <c r="C17" s="127"/>
      <c r="D17" s="126"/>
      <c r="E17" s="128"/>
      <c r="F17" s="139"/>
      <c r="G17" s="111"/>
      <c r="H17" s="111"/>
      <c r="I17" s="111"/>
      <c r="J17" s="116"/>
      <c r="K17" s="112"/>
      <c r="L17" s="182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</row>
    <row r="18" spans="1:229" s="97" customFormat="1" ht="15.75" customHeight="1" x14ac:dyDescent="0.35">
      <c r="A18" s="179"/>
      <c r="B18" s="129"/>
      <c r="C18" s="130"/>
      <c r="D18" s="125" t="str">
        <f>IF(AND(D15&lt;&gt;"",N(F14)&lt;&gt;0,N(F16)&lt;&gt;0),D15,"")</f>
        <v>x</v>
      </c>
      <c r="E18" s="115" t="str">
        <f>IF(D18&lt;&gt;"","=","")</f>
        <v>=</v>
      </c>
      <c r="F18" s="200">
        <f>IF(AND(N(F14)&lt;&gt;0,N(F16)&lt;&gt;0),ROUND(F14/F16,2))</f>
        <v>53.33</v>
      </c>
      <c r="G18" s="111" t="str">
        <f>IF(AND(N(F16)&lt;&gt;0,N(F14)&lt;&gt;0),G14,"")</f>
        <v/>
      </c>
      <c r="H18" s="124"/>
      <c r="I18" s="124"/>
      <c r="J18" s="116"/>
      <c r="K18" s="112"/>
      <c r="L18" s="182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</row>
    <row r="19" spans="1:229" s="93" customFormat="1" ht="15.75" customHeight="1" x14ac:dyDescent="0.3">
      <c r="A19" s="86"/>
      <c r="B19" s="111"/>
      <c r="C19" s="111"/>
      <c r="D19" s="121"/>
      <c r="E19" s="121"/>
      <c r="F19" s="131"/>
      <c r="G19" s="111"/>
      <c r="H19" s="111"/>
      <c r="I19" s="111"/>
      <c r="J19" s="116"/>
      <c r="K19" s="112"/>
      <c r="L19" s="182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</row>
    <row r="20" spans="1:229" s="93" customFormat="1" ht="13.2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</row>
    <row r="21" spans="1:229" s="93" customFormat="1" ht="5.25" customHeight="1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</row>
    <row r="22" spans="1:229" s="93" customFormat="1" ht="13.2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</row>
    <row r="23" spans="1:229" s="93" customFormat="1" ht="7.5" customHeight="1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</row>
    <row r="24" spans="1:229" s="93" customFormat="1" ht="13.2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</row>
    <row r="25" spans="1:229" s="93" customFormat="1" ht="6.75" customHeight="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</row>
    <row r="26" spans="1:229" s="93" customFormat="1" ht="13.2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</row>
    <row r="27" spans="1:229" s="93" customFormat="1" ht="13.2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</row>
    <row r="28" spans="1:229" s="93" customFormat="1" ht="13.2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</row>
    <row r="29" spans="1:229" s="93" customFormat="1" ht="13.2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</row>
    <row r="30" spans="1:229" s="93" customFormat="1" ht="6.75" customHeight="1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</row>
    <row r="31" spans="1:229" s="93" customFormat="1" ht="13.2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</row>
    <row r="32" spans="1:229" s="93" customFormat="1" ht="8.25" customHeight="1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</row>
    <row r="33" spans="1:103" s="93" customFormat="1" ht="13.2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</row>
    <row r="34" spans="1:103" s="93" customFormat="1" ht="11.25" customHeight="1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</row>
    <row r="35" spans="1:103" s="93" customFormat="1" ht="18.75" customHeight="1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</row>
    <row r="36" spans="1:103" s="93" customFormat="1" ht="15.75" customHeight="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</row>
    <row r="37" spans="1:103" s="93" customFormat="1" ht="13.2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</row>
    <row r="38" spans="1:103" s="93" customFormat="1" ht="13.2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</row>
    <row r="39" spans="1:103" s="93" customFormat="1" ht="13.2" x14ac:dyDescent="0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</row>
    <row r="40" spans="1:103" s="93" customFormat="1" ht="13.2" x14ac:dyDescent="0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</row>
    <row r="41" spans="1:103" s="93" customFormat="1" ht="13.2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</row>
    <row r="42" spans="1:103" s="93" customFormat="1" ht="13.2" x14ac:dyDescent="0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</row>
    <row r="43" spans="1:103" s="93" customFormat="1" ht="13.2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</row>
    <row r="44" spans="1:103" s="93" customFormat="1" ht="13.2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</row>
    <row r="45" spans="1:103" s="93" customFormat="1" ht="13.2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</row>
    <row r="46" spans="1:103" s="93" customFormat="1" ht="13.2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</row>
    <row r="47" spans="1:103" s="93" customFormat="1" ht="13.2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</row>
    <row r="48" spans="1:103" s="93" customFormat="1" ht="9.75" customHeight="1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</row>
    <row r="49" spans="1:103" s="93" customFormat="1" ht="13.2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</row>
    <row r="50" spans="1:103" s="93" customFormat="1" ht="13.2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</row>
    <row r="51" spans="1:103" s="93" customFormat="1" ht="13.2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</row>
    <row r="52" spans="1:103" s="93" customFormat="1" ht="13.2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</row>
    <row r="53" spans="1:103" s="93" customFormat="1" ht="13.2" x14ac:dyDescent="0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</row>
    <row r="54" spans="1:103" s="93" customFormat="1" ht="13.2" x14ac:dyDescent="0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</row>
    <row r="55" spans="1:103" s="93" customFormat="1" ht="13.2" x14ac:dyDescent="0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</row>
    <row r="56" spans="1:103" s="93" customFormat="1" ht="13.2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</row>
    <row r="57" spans="1:103" s="93" customFormat="1" ht="13.2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</row>
    <row r="58" spans="1:103" s="93" customFormat="1" ht="13.2" x14ac:dyDescent="0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</row>
    <row r="59" spans="1:103" s="93" customFormat="1" ht="13.2" x14ac:dyDescent="0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</row>
    <row r="60" spans="1:103" s="93" customFormat="1" ht="13.2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</row>
    <row r="61" spans="1:103" s="93" customFormat="1" ht="13.2" x14ac:dyDescent="0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</row>
    <row r="62" spans="1:103" s="93" customFormat="1" ht="13.2" x14ac:dyDescent="0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</row>
    <row r="63" spans="1:103" s="93" customFormat="1" ht="13.2" x14ac:dyDescent="0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</row>
    <row r="64" spans="1:103" s="93" customFormat="1" ht="13.2" x14ac:dyDescent="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</row>
    <row r="65" spans="1:12" ht="13.2" x14ac:dyDescent="0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1:12" ht="13.2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1:12" ht="13.2" x14ac:dyDescent="0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1:12" ht="13.2" x14ac:dyDescent="0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13.2" x14ac:dyDescent="0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ht="13.2" x14ac:dyDescent="0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13.2" x14ac:dyDescent="0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1:12" ht="13.2" x14ac:dyDescent="0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1:12" ht="13.2" x14ac:dyDescent="0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1:12" ht="13.2" x14ac:dyDescent="0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1:12" ht="13.2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1:12" ht="13.2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1:12" ht="13.2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1:12" ht="13.2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1:12" ht="13.2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1:12" ht="13.2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1:12" ht="13.2" x14ac:dyDescent="0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3.2" x14ac:dyDescent="0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1:12" ht="13.2" x14ac:dyDescent="0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1:12" ht="13.2" x14ac:dyDescent="0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3.2" x14ac:dyDescent="0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1:12" ht="13.2" x14ac:dyDescent="0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1:12" ht="13.2" x14ac:dyDescent="0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1:12" ht="13.2" x14ac:dyDescent="0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1:12" ht="13.2" x14ac:dyDescent="0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1:12" ht="13.2" x14ac:dyDescent="0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1:12" ht="13.2" x14ac:dyDescent="0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3.2" x14ac:dyDescent="0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1:12" ht="13.2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1:12" ht="13.2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1:12" ht="13.2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1:12" ht="13.2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1:12" ht="13.2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1:12" ht="13.2" x14ac:dyDescent="0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1:12" ht="13.2" x14ac:dyDescent="0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1:12" ht="13.2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1:12" ht="13.2" x14ac:dyDescent="0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ht="13.2" x14ac:dyDescent="0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ht="13.2" x14ac:dyDescent="0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1:12" ht="13.2" x14ac:dyDescent="0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1:12" ht="13.2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ht="13.2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1:12" ht="13.2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ht="13.2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ht="13.2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ht="13.2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ht="13.2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ht="13.2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ht="13.2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ht="13.2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ht="13.2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ht="13.2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ht="13.2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1:12" ht="13.2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1:12" ht="13.2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1:12" ht="13.2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1:12" ht="13.2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1:12" ht="13.2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1:12" ht="13.2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ht="13.2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1:12" ht="13.2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ht="13.2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1:12" ht="13.2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1:12" ht="13.2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</row>
    <row r="129" spans="1:12" ht="13.2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</row>
    <row r="130" spans="1:12" ht="13.2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</row>
    <row r="131" spans="1:12" ht="13.2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</row>
    <row r="132" spans="1:12" ht="13.2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</row>
    <row r="133" spans="1:12" ht="13.2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</row>
    <row r="134" spans="1:12" ht="13.2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</row>
    <row r="135" spans="1:12" ht="13.2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</row>
    <row r="136" spans="1:12" ht="13.2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</row>
    <row r="137" spans="1:12" ht="13.2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</row>
    <row r="138" spans="1:12" ht="13.2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</row>
    <row r="139" spans="1:12" ht="13.2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</row>
    <row r="140" spans="1:12" ht="13.2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</row>
    <row r="141" spans="1:12" ht="13.2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</row>
    <row r="142" spans="1:12" ht="13.2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</row>
    <row r="143" spans="1:12" ht="13.2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</row>
    <row r="144" spans="1:12" ht="13.2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</row>
    <row r="145" spans="1:12" ht="13.2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</row>
    <row r="146" spans="1:12" ht="13.2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ht="13.2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</row>
    <row r="148" spans="1:12" ht="13.2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</row>
    <row r="149" spans="1:12" ht="13.2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</row>
    <row r="150" spans="1:12" ht="13.2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</row>
    <row r="151" spans="1:12" ht="13.2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1:12" ht="13.2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</row>
    <row r="153" spans="1:12" ht="13.2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</row>
    <row r="154" spans="1:12" ht="13.2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</row>
    <row r="155" spans="1:12" ht="13.2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1:12" ht="13.2" x14ac:dyDescent="0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</row>
  </sheetData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1"/>
  <dimension ref="B2:J12"/>
  <sheetViews>
    <sheetView workbookViewId="0">
      <selection activeCell="P5" sqref="P5"/>
    </sheetView>
  </sheetViews>
  <sheetFormatPr defaultColWidth="9" defaultRowHeight="15" x14ac:dyDescent="0.25"/>
  <cols>
    <col min="1" max="1" width="4.5" style="54" customWidth="1"/>
    <col min="2" max="5" width="9" style="54"/>
    <col min="6" max="6" width="17.19921875" style="54" customWidth="1"/>
    <col min="7" max="7" width="11.5" style="54" customWidth="1"/>
    <col min="8" max="9" width="9" style="54"/>
    <col min="10" max="10" width="3.59765625" style="54" customWidth="1"/>
    <col min="11" max="16384" width="9" style="54"/>
  </cols>
  <sheetData>
    <row r="2" spans="2:10" ht="38.25" customHeight="1" thickBot="1" x14ac:dyDescent="0.3">
      <c r="B2" s="2206" t="str">
        <f>CONCATENATE("8)Uma  mercadoria custou para a empresa R$ ",4*nucaExluir!C4,",00 e  foi vendida por R$ ",4*nucaExluir!C4*(1+nucaExluir!C3/100),".  a) Qual foi o valor do lucro?  b) Qual qual foi a porcentagem de lucro sobre o custo? ")</f>
        <v xml:space="preserve">8)Uma  mercadoria custou para a empresa R$ 356,00 e  foi vendida por R$ 516,2.  a) Qual foi o valor do lucro?  b) Qual qual foi a porcentagem de lucro sobre o custo? </v>
      </c>
      <c r="C2" s="2206"/>
      <c r="D2" s="2206"/>
      <c r="E2" s="2206"/>
      <c r="F2" s="2206"/>
      <c r="G2" s="2206"/>
      <c r="H2" s="2206"/>
      <c r="I2" s="2206"/>
      <c r="J2" s="2206"/>
    </row>
    <row r="3" spans="2:10" ht="15.6" thickBot="1" x14ac:dyDescent="0.3">
      <c r="B3" s="676" t="s">
        <v>213</v>
      </c>
      <c r="C3" s="676"/>
      <c r="D3" s="676"/>
      <c r="E3" s="680" t="s">
        <v>20</v>
      </c>
      <c r="F3" s="679"/>
      <c r="G3" s="676" t="str">
        <f>IF(F3="","",IF(ABS(F3-(4*nucaExluir!C4*nucaExluir!C3/100))&lt;2,"Correto!","Refaça os cálculos!"))</f>
        <v/>
      </c>
      <c r="H3" s="676"/>
      <c r="I3" s="676"/>
      <c r="J3" s="676"/>
    </row>
    <row r="4" spans="2:10" ht="15.6" thickBot="1" x14ac:dyDescent="0.3">
      <c r="B4" s="676" t="s">
        <v>214</v>
      </c>
      <c r="C4" s="676"/>
      <c r="D4" s="676"/>
      <c r="E4" s="680"/>
      <c r="F4" s="679"/>
      <c r="G4" s="676" t="s">
        <v>13</v>
      </c>
      <c r="H4" s="676" t="str">
        <f>IF(F4="","",IF(ABS(F4-(nucaExluir!C3))&lt;2,"Correto!","Refaça os cálculos!"))</f>
        <v/>
      </c>
      <c r="I4" s="676"/>
      <c r="J4" s="676"/>
    </row>
    <row r="5" spans="2:10" ht="63" customHeight="1" x14ac:dyDescent="0.25">
      <c r="B5" s="678"/>
      <c r="C5" s="678"/>
      <c r="D5" s="678"/>
      <c r="E5" s="678"/>
      <c r="F5" s="678"/>
      <c r="G5" s="678"/>
      <c r="H5" s="678"/>
      <c r="I5" s="678"/>
      <c r="J5" s="678"/>
    </row>
    <row r="6" spans="2:10" ht="5.25" customHeight="1" x14ac:dyDescent="0.25">
      <c r="B6" s="678"/>
      <c r="C6" s="678"/>
      <c r="D6" s="678"/>
      <c r="E6" s="678"/>
      <c r="F6" s="678"/>
      <c r="G6" s="678"/>
      <c r="H6" s="678"/>
      <c r="I6" s="678"/>
      <c r="J6" s="678"/>
    </row>
    <row r="7" spans="2:10" ht="35.25" customHeight="1" thickBot="1" x14ac:dyDescent="0.3">
      <c r="B7" s="2206" t="str">
        <f>CONCATENATE("9)Uma  mercadoria custou para a empresa R$ ",8*nucaExluir!C4,",00 e  foi vendida por R$ ",8*nucaExluir!C4*(1+nucaExluir!C3/100),".  a) Qual foi o valor do lucro?  b) Qual qual foi a porcentagem de lucro sobre a venda? ")</f>
        <v xml:space="preserve">9)Uma  mercadoria custou para a empresa R$ 712,00 e  foi vendida por R$ 1032,4.  a) Qual foi o valor do lucro?  b) Qual qual foi a porcentagem de lucro sobre a venda? </v>
      </c>
      <c r="C7" s="2206"/>
      <c r="D7" s="2206"/>
      <c r="E7" s="2206"/>
      <c r="F7" s="2206"/>
      <c r="G7" s="2206"/>
      <c r="H7" s="2206"/>
      <c r="I7" s="2206"/>
      <c r="J7" s="2206"/>
    </row>
    <row r="8" spans="2:10" ht="15.6" thickBot="1" x14ac:dyDescent="0.3">
      <c r="B8" s="676" t="s">
        <v>213</v>
      </c>
      <c r="C8" s="676"/>
      <c r="D8" s="676"/>
      <c r="E8" s="680" t="s">
        <v>20</v>
      </c>
      <c r="F8" s="679"/>
      <c r="G8" s="676" t="str">
        <f>IF(F8="","",IF(ABS(F8-(8*nucaExluir!C4*nucaExluir!C3/100))&lt;2,"Correto!","Refaça os cálculos!"))</f>
        <v/>
      </c>
      <c r="H8" s="676"/>
      <c r="I8" s="676"/>
      <c r="J8" s="676"/>
    </row>
    <row r="9" spans="2:10" ht="15.6" thickBot="1" x14ac:dyDescent="0.3">
      <c r="B9" s="676" t="s">
        <v>214</v>
      </c>
      <c r="C9" s="676"/>
      <c r="D9" s="676"/>
      <c r="E9" s="680"/>
      <c r="F9" s="679"/>
      <c r="G9" s="676" t="s">
        <v>13</v>
      </c>
      <c r="H9" s="676" t="str">
        <f>IF(F9="","",IF(ABS(F9-100*((8*nucaExluir!C4*(1+nucaExluir!C3/100) - 8*nucaExluir!C4)/(8*nucaExluir!C4*(1+nucaExluir!C3/100))))&lt;2,"Correto!","Refaça os cálculos!"))</f>
        <v/>
      </c>
      <c r="I9" s="676"/>
      <c r="J9" s="676"/>
    </row>
    <row r="10" spans="2:10" ht="81" customHeight="1" x14ac:dyDescent="0.25">
      <c r="B10" s="678"/>
      <c r="C10" s="678"/>
      <c r="D10" s="678"/>
      <c r="E10" s="678"/>
      <c r="F10" s="678"/>
      <c r="G10" s="678"/>
      <c r="H10" s="678"/>
      <c r="I10" s="678"/>
      <c r="J10" s="678"/>
    </row>
    <row r="12" spans="2:10" ht="60" x14ac:dyDescent="0.95">
      <c r="F12" s="685" t="s">
        <v>216</v>
      </c>
    </row>
  </sheetData>
  <mergeCells count="2">
    <mergeCell ref="B2:J2"/>
    <mergeCell ref="B7:J7"/>
  </mergeCells>
  <pageMargins left="0.511811024" right="0.511811024" top="0.78740157499999996" bottom="0.78740157499999996" header="0.31496062000000002" footer="0.3149606200000000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2"/>
  <dimension ref="A1:BC142"/>
  <sheetViews>
    <sheetView workbookViewId="0">
      <selection activeCell="Q19" sqref="Q19"/>
    </sheetView>
  </sheetViews>
  <sheetFormatPr defaultColWidth="9" defaultRowHeight="15.6" x14ac:dyDescent="0.3"/>
  <cols>
    <col min="1" max="1" width="5.8984375" style="201" customWidth="1"/>
    <col min="2" max="2" width="3.3984375" style="202" customWidth="1"/>
    <col min="3" max="3" width="5.69921875" style="202" customWidth="1"/>
    <col min="4" max="4" width="6.19921875" style="202" customWidth="1"/>
    <col min="5" max="5" width="6.59765625" style="202" customWidth="1"/>
    <col min="6" max="6" width="5.8984375" style="202" customWidth="1"/>
    <col min="7" max="7" width="1.69921875" style="202" customWidth="1"/>
    <col min="8" max="12" width="4" style="202" customWidth="1"/>
    <col min="13" max="13" width="11.59765625" style="202" customWidth="1"/>
    <col min="14" max="14" width="6.69921875" style="202" customWidth="1"/>
    <col min="15" max="15" width="5.19921875" style="202" customWidth="1"/>
    <col min="16" max="33" width="9" style="201"/>
    <col min="34" max="16384" width="9" style="202"/>
  </cols>
  <sheetData>
    <row r="1" spans="1:54" s="201" customFormat="1" ht="26.25" customHeight="1" thickBot="1" x14ac:dyDescent="0.35"/>
    <row r="2" spans="1:54" ht="18" thickBot="1" x14ac:dyDescent="0.35">
      <c r="B2" s="237"/>
      <c r="C2" s="238"/>
      <c r="D2" s="238"/>
      <c r="E2" s="238"/>
      <c r="F2" s="238" t="s">
        <v>45</v>
      </c>
      <c r="G2" s="238"/>
      <c r="H2" s="238"/>
      <c r="I2" s="238"/>
      <c r="J2" s="238"/>
      <c r="K2" s="238"/>
      <c r="L2" s="238"/>
      <c r="M2" s="238"/>
      <c r="N2" s="238"/>
      <c r="O2" s="243"/>
    </row>
    <row r="3" spans="1:54" ht="18" thickBot="1" x14ac:dyDescent="0.35">
      <c r="B3" s="207"/>
      <c r="C3" s="208"/>
      <c r="D3" s="205"/>
      <c r="E3" s="205"/>
      <c r="F3" s="205"/>
      <c r="G3" s="205"/>
      <c r="H3" s="205"/>
      <c r="I3" s="205"/>
      <c r="J3" s="205"/>
      <c r="K3" s="205"/>
      <c r="L3" s="205"/>
      <c r="M3" s="242"/>
      <c r="N3" s="205"/>
      <c r="O3" s="246"/>
    </row>
    <row r="4" spans="1:54" ht="18" thickBot="1" x14ac:dyDescent="0.35">
      <c r="B4" s="207" t="s">
        <v>46</v>
      </c>
      <c r="C4" s="208"/>
      <c r="D4" s="205"/>
      <c r="E4" s="205"/>
      <c r="F4" s="205"/>
      <c r="G4" s="205"/>
      <c r="H4" s="205"/>
      <c r="I4" s="205"/>
      <c r="J4" s="205"/>
      <c r="K4" s="205"/>
      <c r="L4" s="241" t="s">
        <v>20</v>
      </c>
      <c r="M4" s="279">
        <v>200</v>
      </c>
      <c r="N4" s="205"/>
      <c r="O4" s="246"/>
    </row>
    <row r="5" spans="1:54" ht="18" thickBot="1" x14ac:dyDescent="0.35">
      <c r="B5" s="207"/>
      <c r="C5" s="208"/>
      <c r="D5" s="205"/>
      <c r="E5" s="205"/>
      <c r="F5" s="205"/>
      <c r="G5" s="205"/>
      <c r="H5" s="205"/>
      <c r="I5" s="205"/>
      <c r="J5" s="205"/>
      <c r="K5" s="205"/>
      <c r="L5" s="205"/>
      <c r="M5" s="209"/>
      <c r="N5" s="210"/>
      <c r="O5" s="247"/>
    </row>
    <row r="6" spans="1:54" ht="18" thickBot="1" x14ac:dyDescent="0.35">
      <c r="B6" s="207" t="s">
        <v>47</v>
      </c>
      <c r="C6" s="208"/>
      <c r="D6" s="205"/>
      <c r="E6" s="205"/>
      <c r="F6" s="205"/>
      <c r="G6" s="205"/>
      <c r="H6" s="205"/>
      <c r="I6" s="205"/>
      <c r="J6" s="205"/>
      <c r="K6" s="205"/>
      <c r="L6" s="205"/>
      <c r="M6" s="272">
        <v>4</v>
      </c>
      <c r="N6" s="208" t="s">
        <v>48</v>
      </c>
      <c r="O6" s="246"/>
    </row>
    <row r="7" spans="1:54" ht="18" thickBot="1" x14ac:dyDescent="0.35">
      <c r="B7" s="207"/>
      <c r="C7" s="208"/>
      <c r="D7" s="210"/>
      <c r="E7" s="210"/>
      <c r="F7" s="210"/>
      <c r="G7" s="210"/>
      <c r="H7" s="210"/>
      <c r="I7" s="210"/>
      <c r="J7" s="210"/>
      <c r="K7" s="210"/>
      <c r="L7" s="210"/>
      <c r="M7" s="209"/>
      <c r="N7" s="208"/>
      <c r="O7" s="247"/>
    </row>
    <row r="8" spans="1:54" ht="18" thickBot="1" x14ac:dyDescent="0.35">
      <c r="B8" s="207" t="s">
        <v>49</v>
      </c>
      <c r="C8" s="208"/>
      <c r="D8" s="205"/>
      <c r="E8" s="205"/>
      <c r="F8" s="205"/>
      <c r="G8" s="205"/>
      <c r="H8" s="205"/>
      <c r="I8" s="205"/>
      <c r="J8" s="205"/>
      <c r="K8" s="205"/>
      <c r="L8" s="205"/>
      <c r="M8" s="271">
        <v>3</v>
      </c>
      <c r="N8" s="208" t="s">
        <v>50</v>
      </c>
      <c r="O8" s="246"/>
    </row>
    <row r="9" spans="1:54" ht="17.399999999999999" x14ac:dyDescent="0.3">
      <c r="B9" s="211"/>
      <c r="C9" s="212"/>
      <c r="D9" s="209" t="s">
        <v>51</v>
      </c>
      <c r="E9" s="212"/>
      <c r="F9" s="205"/>
      <c r="G9" s="212"/>
      <c r="H9" s="212"/>
      <c r="I9" s="212"/>
      <c r="J9" s="212"/>
      <c r="K9" s="212"/>
      <c r="L9" s="212"/>
      <c r="M9" s="213"/>
      <c r="N9" s="212"/>
      <c r="O9" s="248"/>
    </row>
    <row r="10" spans="1:54" s="203" customFormat="1" ht="17.399999999999999" x14ac:dyDescent="0.3">
      <c r="A10" s="239"/>
      <c r="B10" s="211"/>
      <c r="C10" s="215" t="s">
        <v>64</v>
      </c>
      <c r="D10" s="209"/>
      <c r="E10" s="216"/>
      <c r="F10" s="217">
        <f>M4</f>
        <v>200</v>
      </c>
      <c r="G10" s="218" t="s">
        <v>42</v>
      </c>
      <c r="H10" s="273">
        <f>M6</f>
        <v>4</v>
      </c>
      <c r="I10" s="219" t="s">
        <v>42</v>
      </c>
      <c r="J10" s="276">
        <f>M8</f>
        <v>3</v>
      </c>
      <c r="K10" s="249"/>
      <c r="L10" s="249"/>
      <c r="M10" s="218"/>
      <c r="N10" s="209"/>
      <c r="O10" s="250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</row>
    <row r="11" spans="1:54" s="203" customFormat="1" ht="17.399999999999999" x14ac:dyDescent="0.3">
      <c r="A11" s="239"/>
      <c r="B11" s="214" t="s">
        <v>92</v>
      </c>
      <c r="C11" s="215"/>
      <c r="D11" s="209"/>
      <c r="E11" s="216" t="s">
        <v>52</v>
      </c>
      <c r="F11" s="222" t="s">
        <v>53</v>
      </c>
      <c r="G11" s="218"/>
      <c r="H11" s="218"/>
      <c r="I11" s="218"/>
      <c r="J11" s="218"/>
      <c r="K11" s="218"/>
      <c r="L11" s="218"/>
      <c r="M11" s="221">
        <f>M4*M6*M8/100</f>
        <v>24</v>
      </c>
      <c r="N11" s="209"/>
      <c r="O11" s="250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54" s="203" customFormat="1" ht="18" thickBot="1" x14ac:dyDescent="0.35">
      <c r="A12" s="239"/>
      <c r="B12" s="251"/>
      <c r="C12" s="255">
        <v>100</v>
      </c>
      <c r="D12" s="209"/>
      <c r="E12" s="216"/>
      <c r="F12" s="216"/>
      <c r="G12" s="216"/>
      <c r="H12" s="222" t="s">
        <v>54</v>
      </c>
      <c r="I12" s="216"/>
      <c r="J12" s="216"/>
      <c r="K12" s="216"/>
      <c r="L12" s="216"/>
      <c r="M12" s="223"/>
      <c r="N12" s="209"/>
      <c r="O12" s="250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</row>
    <row r="13" spans="1:54" s="203" customFormat="1" ht="18" thickBot="1" x14ac:dyDescent="0.35">
      <c r="A13" s="239"/>
      <c r="B13" s="251"/>
      <c r="C13" s="209"/>
      <c r="D13" s="209"/>
      <c r="E13" s="209"/>
      <c r="F13" s="274" t="s">
        <v>55</v>
      </c>
      <c r="G13" s="274"/>
      <c r="H13" s="275"/>
      <c r="I13" s="275"/>
      <c r="J13" s="275"/>
      <c r="K13" s="275"/>
      <c r="L13" s="275"/>
      <c r="M13" s="2207">
        <f>M4*M6*M8/100</f>
        <v>24</v>
      </c>
      <c r="N13" s="2208"/>
      <c r="O13" s="250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</row>
    <row r="14" spans="1:54" s="203" customFormat="1" ht="18" thickBot="1" x14ac:dyDescent="0.35">
      <c r="A14" s="239"/>
      <c r="B14" s="224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6"/>
      <c r="N14" s="225"/>
      <c r="O14" s="252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</row>
    <row r="15" spans="1:54" ht="12" customHeight="1" x14ac:dyDescent="0.3"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</row>
    <row r="16" spans="1:54" ht="13.5" customHeight="1" thickBot="1" x14ac:dyDescent="0.35"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</row>
    <row r="17" spans="1:55" s="238" customFormat="1" ht="18" thickBot="1" x14ac:dyDescent="0.35">
      <c r="A17" s="201"/>
      <c r="B17" s="237"/>
      <c r="F17" s="238" t="s">
        <v>56</v>
      </c>
      <c r="I17" s="229"/>
      <c r="O17" s="243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</row>
    <row r="18" spans="1:55" ht="12.75" customHeight="1" thickBot="1" x14ac:dyDescent="0.35">
      <c r="B18" s="207"/>
      <c r="C18" s="205"/>
      <c r="D18" s="205"/>
      <c r="E18" s="205"/>
      <c r="F18" s="205"/>
      <c r="G18" s="205"/>
      <c r="H18" s="205"/>
      <c r="I18" s="208"/>
      <c r="J18" s="208"/>
      <c r="K18" s="205"/>
      <c r="L18" s="205"/>
      <c r="M18" s="205"/>
      <c r="N18" s="205"/>
      <c r="O18" s="246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70"/>
    </row>
    <row r="19" spans="1:55" ht="18" thickBot="1" x14ac:dyDescent="0.35">
      <c r="B19" s="207" t="s">
        <v>46</v>
      </c>
      <c r="C19" s="205"/>
      <c r="D19" s="205"/>
      <c r="E19" s="205"/>
      <c r="F19" s="205"/>
      <c r="G19" s="205"/>
      <c r="H19" s="205"/>
      <c r="I19" s="208"/>
      <c r="J19" s="208"/>
      <c r="K19" s="205"/>
      <c r="L19" s="241" t="s">
        <v>20</v>
      </c>
      <c r="M19" s="279">
        <f>M4</f>
        <v>200</v>
      </c>
      <c r="N19" s="205"/>
      <c r="O19" s="246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70"/>
    </row>
    <row r="20" spans="1:55" ht="7.5" customHeight="1" thickBot="1" x14ac:dyDescent="0.35">
      <c r="B20" s="207"/>
      <c r="C20" s="205"/>
      <c r="D20" s="205"/>
      <c r="E20" s="205"/>
      <c r="F20" s="205"/>
      <c r="G20" s="205"/>
      <c r="H20" s="205"/>
      <c r="I20" s="208"/>
      <c r="J20" s="208"/>
      <c r="K20" s="205"/>
      <c r="L20" s="205"/>
      <c r="M20" s="209"/>
      <c r="N20" s="210"/>
      <c r="O20" s="247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</row>
    <row r="21" spans="1:55" ht="18" thickBot="1" x14ac:dyDescent="0.35">
      <c r="B21" s="207" t="s">
        <v>57</v>
      </c>
      <c r="C21" s="205"/>
      <c r="D21" s="205"/>
      <c r="E21" s="205"/>
      <c r="F21" s="205"/>
      <c r="G21" s="205"/>
      <c r="H21" s="205"/>
      <c r="I21" s="208"/>
      <c r="J21" s="208"/>
      <c r="K21" s="205"/>
      <c r="L21" s="241" t="s">
        <v>20</v>
      </c>
      <c r="M21" s="232">
        <f>M13</f>
        <v>24</v>
      </c>
      <c r="N21" s="208"/>
      <c r="O21" s="246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</row>
    <row r="22" spans="1:55" ht="10.5" customHeight="1" thickBot="1" x14ac:dyDescent="0.35">
      <c r="B22" s="207"/>
      <c r="C22" s="210"/>
      <c r="D22" s="210"/>
      <c r="E22" s="210"/>
      <c r="F22" s="210"/>
      <c r="G22" s="210"/>
      <c r="H22" s="210"/>
      <c r="I22" s="208"/>
      <c r="J22" s="208"/>
      <c r="K22" s="210"/>
      <c r="L22" s="210"/>
      <c r="M22" s="209"/>
      <c r="N22" s="208"/>
      <c r="O22" s="247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</row>
    <row r="23" spans="1:55" ht="18" thickBot="1" x14ac:dyDescent="0.35">
      <c r="B23" s="207" t="s">
        <v>49</v>
      </c>
      <c r="C23" s="205"/>
      <c r="D23" s="205"/>
      <c r="E23" s="205"/>
      <c r="F23" s="205"/>
      <c r="G23" s="205"/>
      <c r="H23" s="205"/>
      <c r="I23" s="208"/>
      <c r="J23" s="208"/>
      <c r="K23" s="205"/>
      <c r="L23" s="205"/>
      <c r="M23" s="271">
        <f>M8</f>
        <v>3</v>
      </c>
      <c r="N23" s="208" t="s">
        <v>58</v>
      </c>
      <c r="O23" s="246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</row>
    <row r="24" spans="1:55" ht="17.399999999999999" x14ac:dyDescent="0.3">
      <c r="B24" s="263" t="s">
        <v>59</v>
      </c>
      <c r="C24" s="209"/>
      <c r="D24" s="216"/>
      <c r="E24" s="212"/>
      <c r="F24" s="212"/>
      <c r="G24" s="212"/>
      <c r="H24" s="212"/>
      <c r="I24" s="212"/>
      <c r="J24" s="212"/>
      <c r="K24" s="209"/>
      <c r="L24" s="212"/>
      <c r="M24" s="205"/>
      <c r="N24" s="205"/>
      <c r="O24" s="246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</row>
    <row r="25" spans="1:55" ht="17.399999999999999" x14ac:dyDescent="0.3">
      <c r="B25" s="251"/>
      <c r="C25" s="215" t="s">
        <v>66</v>
      </c>
      <c r="D25" s="216"/>
      <c r="E25" s="278">
        <f>M19</f>
        <v>200</v>
      </c>
      <c r="F25" s="277" t="s">
        <v>65</v>
      </c>
      <c r="G25" s="2210">
        <f>M23</f>
        <v>3</v>
      </c>
      <c r="H25" s="2210"/>
      <c r="I25" s="208"/>
      <c r="J25" s="215"/>
      <c r="K25" s="215"/>
      <c r="L25" s="2214">
        <f>E25*G25</f>
        <v>600</v>
      </c>
      <c r="M25" s="2214"/>
      <c r="N25" s="280" t="s">
        <v>67</v>
      </c>
      <c r="O25" s="246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</row>
    <row r="26" spans="1:55" ht="17.399999999999999" x14ac:dyDescent="0.3">
      <c r="B26" s="214" t="s">
        <v>91</v>
      </c>
      <c r="C26" s="209"/>
      <c r="D26" s="216">
        <f>M21</f>
        <v>24</v>
      </c>
      <c r="E26" s="262" t="s">
        <v>60</v>
      </c>
      <c r="F26" s="218"/>
      <c r="G26" s="218"/>
      <c r="H26" s="218"/>
      <c r="I26" s="208"/>
      <c r="J26" s="235">
        <f>D26</f>
        <v>24</v>
      </c>
      <c r="K26" s="255" t="s">
        <v>63</v>
      </c>
      <c r="L26" s="216"/>
      <c r="M26" s="216"/>
      <c r="N26" s="257"/>
      <c r="O26" s="246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</row>
    <row r="27" spans="1:55" ht="17.399999999999999" x14ac:dyDescent="0.3">
      <c r="B27" s="209"/>
      <c r="C27" s="255">
        <v>100</v>
      </c>
      <c r="D27" s="216"/>
      <c r="E27" s="216"/>
      <c r="F27" s="255" t="s">
        <v>54</v>
      </c>
      <c r="G27" s="222"/>
      <c r="H27" s="216"/>
      <c r="I27" s="208"/>
      <c r="J27" s="215"/>
      <c r="K27" s="215"/>
      <c r="L27" s="2215">
        <v>100</v>
      </c>
      <c r="M27" s="2215"/>
      <c r="N27" s="257"/>
      <c r="O27" s="246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55" ht="17.399999999999999" x14ac:dyDescent="0.3">
      <c r="B28" s="209"/>
      <c r="C28" s="209"/>
      <c r="D28" s="209"/>
      <c r="E28" s="209"/>
      <c r="F28" s="2211">
        <f>100*J26</f>
        <v>2400</v>
      </c>
      <c r="G28" s="2211"/>
      <c r="H28" s="2211"/>
      <c r="I28" s="2211"/>
      <c r="J28" s="260" t="s">
        <v>3</v>
      </c>
      <c r="K28" s="2212">
        <f>L25</f>
        <v>600</v>
      </c>
      <c r="L28" s="2212"/>
      <c r="M28" s="281" t="s">
        <v>67</v>
      </c>
      <c r="N28" s="205"/>
      <c r="O28" s="246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</row>
    <row r="29" spans="1:55" ht="7.5" customHeight="1" x14ac:dyDescent="0.3">
      <c r="B29" s="209"/>
      <c r="C29" s="209"/>
      <c r="D29" s="209"/>
      <c r="E29" s="220"/>
      <c r="F29" s="220"/>
      <c r="G29" s="220"/>
      <c r="H29" s="220"/>
      <c r="I29" s="220"/>
      <c r="J29" s="220"/>
      <c r="K29" s="220"/>
      <c r="L29" s="220"/>
      <c r="M29" s="205"/>
      <c r="N29" s="205"/>
      <c r="O29" s="246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</row>
    <row r="30" spans="1:55" ht="17.399999999999999" x14ac:dyDescent="0.3">
      <c r="B30" s="208"/>
      <c r="C30" s="205"/>
      <c r="D30" s="205"/>
      <c r="E30" s="205"/>
      <c r="F30" s="2211">
        <f>K28</f>
        <v>600</v>
      </c>
      <c r="G30" s="2211"/>
      <c r="H30" s="2211"/>
      <c r="I30" s="259" t="s">
        <v>69</v>
      </c>
      <c r="J30" s="2216">
        <f>F28</f>
        <v>2400</v>
      </c>
      <c r="K30" s="2216"/>
      <c r="L30" s="2216"/>
      <c r="M30" s="2216"/>
      <c r="N30" s="205"/>
      <c r="O30" s="246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</row>
    <row r="31" spans="1:55" ht="13.5" customHeight="1" x14ac:dyDescent="0.3">
      <c r="B31" s="207"/>
      <c r="C31" s="205"/>
      <c r="D31" s="205"/>
      <c r="E31" s="205"/>
      <c r="F31" s="205"/>
      <c r="G31" s="208"/>
      <c r="H31" s="216"/>
      <c r="I31" s="220"/>
      <c r="J31" s="2209"/>
      <c r="K31" s="2209"/>
      <c r="L31" s="2209"/>
      <c r="M31" s="205"/>
      <c r="N31" s="205"/>
      <c r="O31" s="246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</row>
    <row r="32" spans="1:55" ht="16.5" customHeight="1" x14ac:dyDescent="0.3">
      <c r="B32" s="207"/>
      <c r="C32" s="205"/>
      <c r="D32" s="205"/>
      <c r="E32" s="205"/>
      <c r="F32" s="227"/>
      <c r="G32" s="230"/>
      <c r="H32" s="233"/>
      <c r="I32" s="235"/>
      <c r="J32" s="2213">
        <f>J30</f>
        <v>2400</v>
      </c>
      <c r="K32" s="2213"/>
      <c r="L32" s="2213"/>
      <c r="M32" s="227"/>
      <c r="N32" s="205"/>
      <c r="O32" s="246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</row>
    <row r="33" spans="1:55" ht="13.5" customHeight="1" x14ac:dyDescent="0.3">
      <c r="B33" s="207"/>
      <c r="C33" s="205"/>
      <c r="D33" s="205"/>
      <c r="E33" s="205"/>
      <c r="F33" s="227"/>
      <c r="G33" s="230"/>
      <c r="H33" s="230"/>
      <c r="I33" s="282" t="s">
        <v>70</v>
      </c>
      <c r="J33" s="227"/>
      <c r="K33" s="227"/>
      <c r="L33" s="261"/>
      <c r="M33" s="284" t="s">
        <v>68</v>
      </c>
      <c r="N33" s="205"/>
      <c r="O33" s="246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5" ht="15" customHeight="1" x14ac:dyDescent="0.3">
      <c r="B34" s="207"/>
      <c r="C34" s="205"/>
      <c r="D34" s="205"/>
      <c r="E34" s="205"/>
      <c r="F34" s="227"/>
      <c r="G34" s="230"/>
      <c r="H34" s="231"/>
      <c r="I34" s="231"/>
      <c r="J34" s="2213">
        <f>F30</f>
        <v>600</v>
      </c>
      <c r="K34" s="2213"/>
      <c r="L34" s="2213"/>
      <c r="M34" s="227"/>
      <c r="N34" s="205"/>
      <c r="O34" s="246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5" ht="13.5" customHeight="1" x14ac:dyDescent="0.3">
      <c r="B35" s="207"/>
      <c r="C35" s="205"/>
      <c r="D35" s="205"/>
      <c r="E35" s="205"/>
      <c r="F35" s="205"/>
      <c r="G35" s="208"/>
      <c r="H35" s="216"/>
      <c r="I35" s="220"/>
      <c r="J35" s="2209"/>
      <c r="K35" s="2209"/>
      <c r="L35" s="2209"/>
      <c r="M35" s="205"/>
      <c r="N35" s="205"/>
      <c r="O35" s="246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5" ht="17.399999999999999" x14ac:dyDescent="0.3">
      <c r="B36" s="207"/>
      <c r="C36" s="208"/>
      <c r="D36" s="210"/>
      <c r="E36" s="205"/>
      <c r="F36" s="227"/>
      <c r="G36" s="227"/>
      <c r="H36" s="285" t="s">
        <v>71</v>
      </c>
      <c r="I36" s="286">
        <f>J32/J34</f>
        <v>4</v>
      </c>
      <c r="J36" s="285" t="s">
        <v>48</v>
      </c>
      <c r="K36" s="285"/>
      <c r="L36" s="285"/>
      <c r="M36" s="227"/>
      <c r="N36" s="205"/>
      <c r="O36" s="246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55" ht="14.25" customHeight="1" thickBot="1" x14ac:dyDescent="0.35">
      <c r="B37" s="207"/>
      <c r="C37" s="208"/>
      <c r="D37" s="210"/>
      <c r="E37" s="205"/>
      <c r="F37" s="205"/>
      <c r="G37" s="205"/>
      <c r="H37" s="262"/>
      <c r="I37" s="262"/>
      <c r="J37" s="262"/>
      <c r="K37" s="262"/>
      <c r="L37" s="262"/>
      <c r="M37" s="205"/>
      <c r="N37" s="205"/>
      <c r="O37" s="246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</row>
    <row r="38" spans="1:55" ht="18" thickBot="1" x14ac:dyDescent="0.35">
      <c r="B38" s="265"/>
      <c r="C38" s="205"/>
      <c r="D38" s="205"/>
      <c r="E38" s="287" t="s">
        <v>72</v>
      </c>
      <c r="F38" s="288"/>
      <c r="G38" s="288"/>
      <c r="H38" s="288"/>
      <c r="I38" s="289">
        <f>I36</f>
        <v>4</v>
      </c>
      <c r="J38" s="288" t="str">
        <f>J36</f>
        <v>% ao mês</v>
      </c>
      <c r="K38" s="288"/>
      <c r="L38" s="288"/>
      <c r="M38" s="283"/>
      <c r="N38" s="205"/>
      <c r="O38" s="246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</row>
    <row r="39" spans="1:55" ht="18" thickBot="1" x14ac:dyDescent="0.35">
      <c r="B39" s="266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67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</row>
    <row r="40" spans="1:55" ht="16.2" thickBot="1" x14ac:dyDescent="0.35"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</row>
    <row r="41" spans="1:55" s="238" customFormat="1" ht="18" thickBot="1" x14ac:dyDescent="0.35">
      <c r="A41" s="201"/>
      <c r="B41" s="237"/>
      <c r="D41" s="238" t="s">
        <v>73</v>
      </c>
      <c r="O41" s="243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</row>
    <row r="42" spans="1:55" ht="6.75" customHeight="1" x14ac:dyDescent="0.3">
      <c r="A42" s="256"/>
      <c r="B42" s="263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46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</row>
    <row r="43" spans="1:55" ht="18" thickBot="1" x14ac:dyDescent="0.35">
      <c r="B43" s="207" t="s">
        <v>74</v>
      </c>
      <c r="C43" s="205"/>
      <c r="D43" s="205"/>
      <c r="E43" s="205"/>
      <c r="F43" s="205"/>
      <c r="G43" s="205"/>
      <c r="H43" s="205"/>
      <c r="I43" s="208"/>
      <c r="J43" s="208"/>
      <c r="K43" s="205"/>
      <c r="L43" s="241" t="s">
        <v>20</v>
      </c>
      <c r="M43" s="300">
        <f>M4</f>
        <v>200</v>
      </c>
      <c r="N43" s="205"/>
      <c r="O43" s="246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70"/>
    </row>
    <row r="44" spans="1:55" ht="7.5" customHeight="1" thickBot="1" x14ac:dyDescent="0.35">
      <c r="B44" s="207"/>
      <c r="C44" s="205"/>
      <c r="D44" s="205"/>
      <c r="E44" s="205"/>
      <c r="F44" s="205"/>
      <c r="G44" s="205"/>
      <c r="H44" s="205"/>
      <c r="I44" s="208"/>
      <c r="J44" s="208"/>
      <c r="K44" s="205"/>
      <c r="L44" s="205"/>
      <c r="M44" s="209"/>
      <c r="N44" s="210"/>
      <c r="O44" s="247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</row>
    <row r="45" spans="1:55" ht="18" thickBot="1" x14ac:dyDescent="0.35">
      <c r="B45" s="207" t="s">
        <v>75</v>
      </c>
      <c r="C45" s="205"/>
      <c r="D45" s="205"/>
      <c r="E45" s="205"/>
      <c r="F45" s="205"/>
      <c r="G45" s="205"/>
      <c r="H45" s="205"/>
      <c r="I45" s="208"/>
      <c r="J45" s="208"/>
      <c r="K45" s="205"/>
      <c r="L45" s="241" t="s">
        <v>20</v>
      </c>
      <c r="M45" s="232">
        <f>M21</f>
        <v>24</v>
      </c>
      <c r="N45" s="208"/>
      <c r="O45" s="246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</row>
    <row r="46" spans="1:55" ht="7.5" customHeight="1" thickBot="1" x14ac:dyDescent="0.35">
      <c r="B46" s="207"/>
      <c r="C46" s="210"/>
      <c r="D46" s="210"/>
      <c r="E46" s="210"/>
      <c r="F46" s="210"/>
      <c r="G46" s="210"/>
      <c r="H46" s="210"/>
      <c r="I46" s="208"/>
      <c r="J46" s="208"/>
      <c r="K46" s="210"/>
      <c r="L46" s="210"/>
      <c r="M46" s="209"/>
      <c r="N46" s="208"/>
      <c r="O46" s="247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</row>
    <row r="47" spans="1:55" ht="18" thickBot="1" x14ac:dyDescent="0.35">
      <c r="B47" s="207" t="s">
        <v>47</v>
      </c>
      <c r="C47" s="205"/>
      <c r="D47" s="205"/>
      <c r="E47" s="205"/>
      <c r="F47" s="205"/>
      <c r="G47" s="205"/>
      <c r="H47" s="205"/>
      <c r="I47" s="208"/>
      <c r="J47" s="208"/>
      <c r="K47" s="205"/>
      <c r="L47" s="205"/>
      <c r="M47" s="272">
        <f>M8</f>
        <v>3</v>
      </c>
      <c r="N47" s="208" t="s">
        <v>48</v>
      </c>
      <c r="O47" s="246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</row>
    <row r="48" spans="1:55" ht="17.399999999999999" x14ac:dyDescent="0.3">
      <c r="B48" s="263"/>
      <c r="C48" s="209"/>
      <c r="D48" s="216" t="s">
        <v>76</v>
      </c>
      <c r="E48" s="212"/>
      <c r="F48" s="212"/>
      <c r="G48" s="212"/>
      <c r="H48" s="212"/>
      <c r="I48" s="212"/>
      <c r="J48" s="212"/>
      <c r="K48" s="209"/>
      <c r="L48" s="212"/>
      <c r="M48" s="205"/>
      <c r="N48" s="205"/>
      <c r="O48" s="246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</row>
    <row r="49" spans="2:54" ht="15" customHeight="1" x14ac:dyDescent="0.3">
      <c r="B49" s="251"/>
      <c r="C49" s="215" t="s">
        <v>66</v>
      </c>
      <c r="D49" s="216"/>
      <c r="E49" s="278">
        <f>M43</f>
        <v>200</v>
      </c>
      <c r="F49" s="290">
        <f>M47</f>
        <v>3</v>
      </c>
      <c r="G49" s="2210" t="s">
        <v>82</v>
      </c>
      <c r="H49" s="2210" t="s">
        <v>77</v>
      </c>
      <c r="I49" s="208"/>
      <c r="J49" s="215"/>
      <c r="K49" s="215"/>
      <c r="L49" s="2217">
        <f>E49*F49</f>
        <v>600</v>
      </c>
      <c r="M49" s="2217"/>
      <c r="N49" s="292" t="s">
        <v>82</v>
      </c>
      <c r="O49" s="246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</row>
    <row r="50" spans="2:54" ht="17.399999999999999" x14ac:dyDescent="0.3">
      <c r="B50" s="214" t="s">
        <v>91</v>
      </c>
      <c r="C50" s="209"/>
      <c r="D50" s="216">
        <f>M45</f>
        <v>24</v>
      </c>
      <c r="E50" s="262" t="s">
        <v>79</v>
      </c>
      <c r="F50" s="218"/>
      <c r="G50" s="218"/>
      <c r="H50" s="218"/>
      <c r="I50" s="208"/>
      <c r="J50" s="215"/>
      <c r="K50" s="215">
        <f>D50</f>
        <v>24</v>
      </c>
      <c r="L50" s="262" t="s">
        <v>80</v>
      </c>
      <c r="M50" s="216"/>
      <c r="N50" s="257"/>
      <c r="O50" s="246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</row>
    <row r="51" spans="2:54" ht="17.399999999999999" x14ac:dyDescent="0.3">
      <c r="B51" s="251"/>
      <c r="C51" s="255">
        <v>100</v>
      </c>
      <c r="D51" s="216"/>
      <c r="E51" s="216"/>
      <c r="F51" s="262" t="s">
        <v>54</v>
      </c>
      <c r="G51" s="222"/>
      <c r="H51" s="216"/>
      <c r="I51" s="208"/>
      <c r="J51" s="215"/>
      <c r="K51" s="215"/>
      <c r="L51" s="2218">
        <f>C51</f>
        <v>100</v>
      </c>
      <c r="M51" s="2218" t="s">
        <v>81</v>
      </c>
      <c r="N51" s="257"/>
      <c r="O51" s="246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</row>
    <row r="52" spans="2:54" ht="9.75" customHeight="1" x14ac:dyDescent="0.3">
      <c r="B52" s="26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46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</row>
    <row r="53" spans="2:54" ht="17.399999999999999" x14ac:dyDescent="0.3">
      <c r="B53" s="251"/>
      <c r="C53" s="209"/>
      <c r="D53" s="209"/>
      <c r="E53" s="209"/>
      <c r="F53" s="2219">
        <f>K50*L51</f>
        <v>2400</v>
      </c>
      <c r="G53" s="2219"/>
      <c r="H53" s="2219"/>
      <c r="I53" s="2219">
        <f>100*K50</f>
        <v>2400</v>
      </c>
      <c r="J53" s="260" t="s">
        <v>3</v>
      </c>
      <c r="K53" s="2220">
        <f>L49</f>
        <v>600</v>
      </c>
      <c r="L53" s="2220" t="s">
        <v>78</v>
      </c>
      <c r="M53" s="293" t="s">
        <v>82</v>
      </c>
      <c r="N53" s="205"/>
      <c r="O53" s="246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</row>
    <row r="54" spans="2:54" ht="12" customHeight="1" x14ac:dyDescent="0.3">
      <c r="B54" s="251"/>
      <c r="C54" s="209"/>
      <c r="D54" s="209"/>
      <c r="E54" s="220"/>
      <c r="F54" s="205"/>
      <c r="G54" s="205"/>
      <c r="H54" s="205"/>
      <c r="I54" s="205"/>
      <c r="J54" s="205"/>
      <c r="K54" s="205"/>
      <c r="L54" s="205"/>
      <c r="M54" s="205"/>
      <c r="N54" s="205"/>
      <c r="O54" s="246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</row>
    <row r="55" spans="2:54" ht="18.75" customHeight="1" x14ac:dyDescent="0.3">
      <c r="B55" s="207"/>
      <c r="C55" s="205"/>
      <c r="D55" s="205"/>
      <c r="E55" s="205"/>
      <c r="F55" s="227"/>
      <c r="G55" s="2220">
        <f>K53</f>
        <v>600</v>
      </c>
      <c r="H55" s="2220"/>
      <c r="I55" s="294"/>
      <c r="J55" s="297" t="s">
        <v>83</v>
      </c>
      <c r="K55" s="2221">
        <f>I53</f>
        <v>2400</v>
      </c>
      <c r="L55" s="2221"/>
      <c r="M55" s="2221"/>
      <c r="N55" s="205"/>
      <c r="O55" s="246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</row>
    <row r="56" spans="2:54" ht="9.75" customHeight="1" x14ac:dyDescent="0.3">
      <c r="B56" s="207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46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</row>
    <row r="57" spans="2:54" ht="15" customHeight="1" x14ac:dyDescent="0.3">
      <c r="B57" s="207"/>
      <c r="C57" s="205"/>
      <c r="D57" s="205"/>
      <c r="E57" s="205"/>
      <c r="F57" s="234"/>
      <c r="G57" s="234"/>
      <c r="H57" s="234"/>
      <c r="I57" s="259"/>
      <c r="J57" s="2221">
        <f>K55</f>
        <v>2400</v>
      </c>
      <c r="K57" s="2221"/>
      <c r="L57" s="2221"/>
      <c r="M57" s="295"/>
      <c r="N57" s="205"/>
      <c r="O57" s="246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</row>
    <row r="58" spans="2:54" ht="15.75" customHeight="1" x14ac:dyDescent="0.3">
      <c r="B58" s="207"/>
      <c r="C58" s="205"/>
      <c r="D58" s="205"/>
      <c r="E58" s="205"/>
      <c r="F58" s="227"/>
      <c r="G58" s="230"/>
      <c r="H58" s="233"/>
      <c r="I58" s="235"/>
      <c r="J58" s="298" t="s">
        <v>84</v>
      </c>
      <c r="K58" s="298"/>
      <c r="L58" s="298"/>
      <c r="M58" s="227"/>
      <c r="N58" s="205"/>
      <c r="O58" s="246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</row>
    <row r="59" spans="2:54" ht="15" customHeight="1" x14ac:dyDescent="0.3">
      <c r="B59" s="207"/>
      <c r="C59" s="205"/>
      <c r="D59" s="205"/>
      <c r="E59" s="205"/>
      <c r="F59" s="227"/>
      <c r="G59" s="230"/>
      <c r="H59" s="230"/>
      <c r="I59" s="282"/>
      <c r="J59" s="2220">
        <f>G55</f>
        <v>600</v>
      </c>
      <c r="K59" s="2220"/>
      <c r="L59" s="294"/>
      <c r="M59" s="284"/>
      <c r="N59" s="205"/>
      <c r="O59" s="246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</row>
    <row r="60" spans="2:54" ht="7.5" customHeight="1" x14ac:dyDescent="0.3">
      <c r="B60" s="251"/>
      <c r="C60" s="209"/>
      <c r="D60" s="209"/>
      <c r="E60" s="220"/>
      <c r="F60" s="205"/>
      <c r="G60" s="205"/>
      <c r="H60" s="205"/>
      <c r="I60" s="205"/>
      <c r="J60" s="205"/>
      <c r="K60" s="205"/>
      <c r="L60" s="205"/>
      <c r="M60" s="205"/>
      <c r="N60" s="205"/>
      <c r="O60" s="246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</row>
    <row r="61" spans="2:54" ht="17.399999999999999" x14ac:dyDescent="0.3">
      <c r="B61" s="265"/>
      <c r="C61" s="205"/>
      <c r="D61" s="205"/>
      <c r="E61" s="205"/>
      <c r="F61" s="227"/>
      <c r="G61" s="227"/>
      <c r="H61" s="227"/>
      <c r="I61" s="227"/>
      <c r="J61" s="296" t="s">
        <v>85</v>
      </c>
      <c r="K61" s="2222" t="str">
        <f>CONCATENATE(J57/J59," meses")</f>
        <v>4 meses</v>
      </c>
      <c r="L61" s="2222"/>
      <c r="M61" s="2222"/>
      <c r="N61" s="205"/>
      <c r="O61" s="246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</row>
    <row r="62" spans="2:54" ht="18" thickBot="1" x14ac:dyDescent="0.35">
      <c r="B62" s="266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67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</row>
    <row r="63" spans="2:54" s="201" customFormat="1" ht="16.2" thickBot="1" x14ac:dyDescent="0.35">
      <c r="P63" s="256"/>
      <c r="Q63" s="256"/>
      <c r="R63" s="256"/>
      <c r="S63" s="256"/>
      <c r="T63" s="256"/>
    </row>
    <row r="64" spans="2:54" s="201" customFormat="1" ht="18" thickBot="1" x14ac:dyDescent="0.35">
      <c r="B64" s="228" t="s">
        <v>86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99"/>
      <c r="P64" s="256"/>
      <c r="Q64" s="256"/>
      <c r="R64" s="256"/>
      <c r="S64" s="256"/>
      <c r="T64" s="256"/>
    </row>
    <row r="65" spans="2:20" s="201" customFormat="1" ht="11.25" customHeight="1" x14ac:dyDescent="0.3">
      <c r="B65" s="319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320"/>
      <c r="P65" s="244"/>
      <c r="Q65" s="244"/>
      <c r="R65" s="244"/>
      <c r="S65" s="244"/>
      <c r="T65" s="256"/>
    </row>
    <row r="66" spans="2:20" s="201" customFormat="1" ht="15" customHeight="1" thickBot="1" x14ac:dyDescent="0.35">
      <c r="B66" s="207" t="s">
        <v>75</v>
      </c>
      <c r="C66" s="205"/>
      <c r="D66" s="205"/>
      <c r="E66" s="205"/>
      <c r="F66" s="205"/>
      <c r="G66" s="205"/>
      <c r="H66" s="205"/>
      <c r="I66" s="208"/>
      <c r="J66" s="208"/>
      <c r="K66" s="205"/>
      <c r="L66" s="241" t="s">
        <v>20</v>
      </c>
      <c r="M66" s="301">
        <f>M11</f>
        <v>24</v>
      </c>
      <c r="N66" s="205"/>
      <c r="O66" s="246"/>
      <c r="P66" s="244"/>
      <c r="Q66" s="244"/>
      <c r="R66" s="244"/>
      <c r="S66" s="244"/>
    </row>
    <row r="67" spans="2:20" s="201" customFormat="1" ht="9" customHeight="1" thickBot="1" x14ac:dyDescent="0.35">
      <c r="B67" s="207"/>
      <c r="C67" s="205"/>
      <c r="D67" s="205"/>
      <c r="E67" s="205"/>
      <c r="F67" s="205"/>
      <c r="G67" s="205"/>
      <c r="H67" s="205"/>
      <c r="I67" s="208"/>
      <c r="J67" s="208"/>
      <c r="K67" s="205"/>
      <c r="L67" s="205"/>
      <c r="M67" s="209"/>
      <c r="N67" s="210"/>
      <c r="O67" s="247"/>
      <c r="P67" s="245"/>
      <c r="Q67" s="245"/>
      <c r="R67" s="245"/>
      <c r="S67" s="245"/>
    </row>
    <row r="68" spans="2:20" ht="18" thickBot="1" x14ac:dyDescent="0.35">
      <c r="B68" s="207" t="s">
        <v>87</v>
      </c>
      <c r="C68" s="205"/>
      <c r="D68" s="205"/>
      <c r="E68" s="205"/>
      <c r="F68" s="205"/>
      <c r="G68" s="205"/>
      <c r="H68" s="205"/>
      <c r="I68" s="208"/>
      <c r="J68" s="208"/>
      <c r="K68" s="205"/>
      <c r="L68" s="205"/>
      <c r="M68" s="272">
        <f>M6</f>
        <v>4</v>
      </c>
      <c r="N68" s="208" t="s">
        <v>48</v>
      </c>
      <c r="O68" s="246"/>
      <c r="P68" s="244"/>
      <c r="Q68" s="244"/>
      <c r="R68" s="244"/>
      <c r="S68" s="244"/>
    </row>
    <row r="69" spans="2:20" ht="9" customHeight="1" thickBot="1" x14ac:dyDescent="0.35">
      <c r="B69" s="207"/>
      <c r="C69" s="210"/>
      <c r="D69" s="210"/>
      <c r="E69" s="210"/>
      <c r="F69" s="210"/>
      <c r="G69" s="210"/>
      <c r="H69" s="210"/>
      <c r="I69" s="208"/>
      <c r="J69" s="208"/>
      <c r="K69" s="210"/>
      <c r="L69" s="210"/>
      <c r="M69" s="209"/>
      <c r="N69" s="208"/>
      <c r="O69" s="247"/>
      <c r="P69" s="244"/>
      <c r="Q69" s="244"/>
      <c r="R69" s="244"/>
      <c r="S69" s="244"/>
    </row>
    <row r="70" spans="2:20" ht="18" thickBot="1" x14ac:dyDescent="0.35">
      <c r="B70" s="207" t="s">
        <v>49</v>
      </c>
      <c r="C70" s="205"/>
      <c r="D70" s="205"/>
      <c r="E70" s="205"/>
      <c r="F70" s="205"/>
      <c r="G70" s="205"/>
      <c r="H70" s="205"/>
      <c r="I70" s="208"/>
      <c r="J70" s="208"/>
      <c r="K70" s="205"/>
      <c r="L70" s="205"/>
      <c r="M70" s="271">
        <f>M8</f>
        <v>3</v>
      </c>
      <c r="N70" s="208" t="s">
        <v>50</v>
      </c>
      <c r="O70" s="246"/>
      <c r="P70" s="244"/>
      <c r="Q70" s="245"/>
      <c r="R70" s="245"/>
      <c r="S70" s="245"/>
    </row>
    <row r="71" spans="2:20" ht="17.399999999999999" x14ac:dyDescent="0.3">
      <c r="B71" s="263"/>
      <c r="C71" s="209"/>
      <c r="D71" s="216" t="s">
        <v>88</v>
      </c>
      <c r="E71" s="212"/>
      <c r="F71" s="212"/>
      <c r="G71" s="212"/>
      <c r="H71" s="212"/>
      <c r="I71" s="212"/>
      <c r="J71" s="212"/>
      <c r="K71" s="209"/>
      <c r="L71" s="212"/>
      <c r="M71" s="205"/>
      <c r="N71" s="205"/>
      <c r="O71" s="246"/>
      <c r="P71" s="321"/>
      <c r="Q71" s="321"/>
      <c r="R71" s="321"/>
      <c r="S71" s="321"/>
    </row>
    <row r="72" spans="2:20" ht="13.5" customHeight="1" x14ac:dyDescent="0.3">
      <c r="B72" s="251"/>
      <c r="C72" s="215" t="s">
        <v>66</v>
      </c>
      <c r="D72" s="216"/>
      <c r="E72" s="305" t="s">
        <v>94</v>
      </c>
      <c r="F72" s="306">
        <f>M68</f>
        <v>4</v>
      </c>
      <c r="G72" s="307" t="s">
        <v>42</v>
      </c>
      <c r="H72" s="308">
        <f>M70</f>
        <v>3</v>
      </c>
      <c r="I72" s="215"/>
      <c r="J72" s="215"/>
      <c r="K72" s="2217"/>
      <c r="L72" s="2217" t="e">
        <f>G72*I72</f>
        <v>#VALUE!</v>
      </c>
      <c r="M72" s="303">
        <f>F72*H72</f>
        <v>12</v>
      </c>
      <c r="N72" s="302" t="s">
        <v>93</v>
      </c>
      <c r="O72" s="246"/>
    </row>
    <row r="73" spans="2:20" ht="17.399999999999999" x14ac:dyDescent="0.3">
      <c r="B73" s="253" t="s">
        <v>95</v>
      </c>
      <c r="C73" s="209"/>
      <c r="D73" s="209">
        <f>M66</f>
        <v>24</v>
      </c>
      <c r="E73" s="262" t="s">
        <v>79</v>
      </c>
      <c r="F73" s="254"/>
      <c r="G73" s="254"/>
      <c r="H73" s="218"/>
      <c r="I73" s="215"/>
      <c r="J73" s="215"/>
      <c r="K73" s="209">
        <f>D73</f>
        <v>24</v>
      </c>
      <c r="L73" s="262" t="s">
        <v>90</v>
      </c>
      <c r="M73" s="258"/>
      <c r="N73" s="215"/>
      <c r="O73" s="246"/>
    </row>
    <row r="74" spans="2:20" ht="13.5" customHeight="1" x14ac:dyDescent="0.3">
      <c r="B74" s="251"/>
      <c r="C74" s="255">
        <v>100</v>
      </c>
      <c r="D74" s="209"/>
      <c r="E74" s="209"/>
      <c r="F74" s="240" t="s">
        <v>54</v>
      </c>
      <c r="G74" s="255"/>
      <c r="H74" s="216"/>
      <c r="I74" s="215"/>
      <c r="J74" s="215"/>
      <c r="K74" s="2218"/>
      <c r="L74" s="2218"/>
      <c r="M74" s="291">
        <v>100</v>
      </c>
      <c r="N74" s="312"/>
      <c r="O74" s="246"/>
    </row>
    <row r="75" spans="2:20" ht="6" customHeight="1" x14ac:dyDescent="0.3">
      <c r="B75" s="26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46"/>
    </row>
    <row r="76" spans="2:20" ht="16.5" customHeight="1" x14ac:dyDescent="0.3">
      <c r="B76" s="265"/>
      <c r="C76" s="205"/>
      <c r="D76" s="205"/>
      <c r="E76" s="205"/>
      <c r="F76" s="205"/>
      <c r="G76" s="205"/>
      <c r="H76" s="227"/>
      <c r="I76" s="2223">
        <f>100*K73</f>
        <v>2400</v>
      </c>
      <c r="J76" s="2223"/>
      <c r="K76" s="2223"/>
      <c r="L76" s="261" t="s">
        <v>3</v>
      </c>
      <c r="M76" s="313">
        <f>M72</f>
        <v>12</v>
      </c>
      <c r="N76" s="314" t="s">
        <v>89</v>
      </c>
      <c r="O76" s="246"/>
    </row>
    <row r="77" spans="2:20" ht="13.5" customHeight="1" x14ac:dyDescent="0.3">
      <c r="B77" s="265"/>
      <c r="C77" s="205"/>
      <c r="D77" s="205"/>
      <c r="E77" s="205"/>
      <c r="F77" s="205"/>
      <c r="G77" s="205"/>
      <c r="H77" s="205"/>
      <c r="I77" s="311"/>
      <c r="J77" s="311"/>
      <c r="K77" s="311"/>
      <c r="L77" s="240"/>
      <c r="M77" s="309"/>
      <c r="N77" s="304"/>
      <c r="O77" s="246"/>
    </row>
    <row r="78" spans="2:20" ht="15" customHeight="1" x14ac:dyDescent="0.3">
      <c r="B78" s="265"/>
      <c r="C78" s="205"/>
      <c r="D78" s="205"/>
      <c r="E78" s="205"/>
      <c r="F78" s="205"/>
      <c r="G78" s="205"/>
      <c r="H78" s="227"/>
      <c r="I78" s="227"/>
      <c r="J78" s="227"/>
      <c r="K78" s="313">
        <f>M76</f>
        <v>12</v>
      </c>
      <c r="L78" s="227" t="s">
        <v>96</v>
      </c>
      <c r="M78" s="315">
        <f>I76</f>
        <v>2400</v>
      </c>
      <c r="N78" s="227"/>
      <c r="O78" s="246"/>
    </row>
    <row r="79" spans="2:20" ht="10.5" customHeight="1" x14ac:dyDescent="0.3">
      <c r="B79" s="265"/>
      <c r="C79" s="205"/>
      <c r="D79" s="205"/>
      <c r="E79" s="205"/>
      <c r="F79" s="205"/>
      <c r="G79" s="205"/>
      <c r="H79" s="205"/>
      <c r="I79" s="205"/>
      <c r="J79" s="205"/>
      <c r="K79" s="309"/>
      <c r="L79" s="205"/>
      <c r="M79" s="310"/>
      <c r="N79" s="205"/>
      <c r="O79" s="246"/>
    </row>
    <row r="80" spans="2:20" ht="15" customHeight="1" x14ac:dyDescent="0.3">
      <c r="B80" s="265"/>
      <c r="C80" s="205"/>
      <c r="D80" s="205"/>
      <c r="E80" s="205"/>
      <c r="F80" s="205"/>
      <c r="G80" s="205"/>
      <c r="H80" s="227"/>
      <c r="I80" s="227"/>
      <c r="J80" s="227"/>
      <c r="K80" s="227"/>
      <c r="L80" s="2223">
        <f>M78</f>
        <v>2400</v>
      </c>
      <c r="M80" s="2223"/>
      <c r="N80" s="227"/>
      <c r="O80" s="246"/>
    </row>
    <row r="81" spans="1:33" ht="13.5" customHeight="1" x14ac:dyDescent="0.3">
      <c r="B81" s="265"/>
      <c r="C81" s="205"/>
      <c r="D81" s="205"/>
      <c r="E81" s="205"/>
      <c r="F81" s="205"/>
      <c r="G81" s="205"/>
      <c r="H81" s="227"/>
      <c r="I81" s="227"/>
      <c r="J81" s="227"/>
      <c r="K81" s="316" t="s">
        <v>97</v>
      </c>
      <c r="L81" s="236" t="s">
        <v>98</v>
      </c>
      <c r="M81" s="227"/>
      <c r="N81" s="227"/>
      <c r="O81" s="246"/>
    </row>
    <row r="82" spans="1:33" ht="15.75" customHeight="1" x14ac:dyDescent="0.3">
      <c r="B82" s="265"/>
      <c r="C82" s="205"/>
      <c r="D82" s="205"/>
      <c r="E82" s="205"/>
      <c r="F82" s="205"/>
      <c r="G82" s="205"/>
      <c r="H82" s="227"/>
      <c r="I82" s="227"/>
      <c r="J82" s="227"/>
      <c r="K82" s="227"/>
      <c r="L82" s="2224">
        <f>K78</f>
        <v>12</v>
      </c>
      <c r="M82" s="2224"/>
      <c r="N82" s="227"/>
      <c r="O82" s="246"/>
    </row>
    <row r="83" spans="1:33" ht="9" customHeight="1" x14ac:dyDescent="0.3">
      <c r="B83" s="26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46"/>
    </row>
    <row r="84" spans="1:33" ht="15.75" customHeight="1" x14ac:dyDescent="0.3">
      <c r="B84" s="265"/>
      <c r="C84" s="205"/>
      <c r="D84" s="205"/>
      <c r="E84" s="205"/>
      <c r="F84" s="205"/>
      <c r="G84" s="205"/>
      <c r="H84" s="227"/>
      <c r="I84" s="227"/>
      <c r="J84" s="317"/>
      <c r="K84" s="318" t="s">
        <v>99</v>
      </c>
      <c r="L84" s="2225">
        <f>L80/L82</f>
        <v>200</v>
      </c>
      <c r="M84" s="2225"/>
      <c r="N84" s="2225"/>
      <c r="O84" s="246"/>
    </row>
    <row r="85" spans="1:33" s="264" customFormat="1" ht="12" customHeight="1" thickBot="1" x14ac:dyDescent="0.35">
      <c r="A85" s="256"/>
      <c r="B85" s="266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67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</row>
    <row r="86" spans="1:33" s="201" customFormat="1" x14ac:dyDescent="0.3"/>
    <row r="87" spans="1:33" s="201" customFormat="1" x14ac:dyDescent="0.3"/>
    <row r="88" spans="1:33" s="201" customFormat="1" x14ac:dyDescent="0.3"/>
    <row r="89" spans="1:33" x14ac:dyDescent="0.3"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</row>
    <row r="90" spans="1:33" x14ac:dyDescent="0.3"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</row>
    <row r="91" spans="1:33" x14ac:dyDescent="0.3"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</row>
    <row r="92" spans="1:33" x14ac:dyDescent="0.3"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</row>
    <row r="93" spans="1:33" x14ac:dyDescent="0.3"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</row>
    <row r="94" spans="1:33" x14ac:dyDescent="0.3"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</row>
    <row r="95" spans="1:33" x14ac:dyDescent="0.3"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</row>
    <row r="96" spans="1:33" x14ac:dyDescent="0.3"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</row>
    <row r="97" spans="2:15" x14ac:dyDescent="0.3"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</row>
    <row r="98" spans="2:15" x14ac:dyDescent="0.3"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</row>
    <row r="99" spans="2:15" x14ac:dyDescent="0.3"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5" x14ac:dyDescent="0.3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5" x14ac:dyDescent="0.3"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5" x14ac:dyDescent="0.3"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5" x14ac:dyDescent="0.3"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5" x14ac:dyDescent="0.3"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5" x14ac:dyDescent="0.3"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5" x14ac:dyDescent="0.3"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5" x14ac:dyDescent="0.3"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5" x14ac:dyDescent="0.3"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5" x14ac:dyDescent="0.3"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5" x14ac:dyDescent="0.3"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5" x14ac:dyDescent="0.3"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5" x14ac:dyDescent="0.3"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5" x14ac:dyDescent="0.3"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5" x14ac:dyDescent="0.3"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5" x14ac:dyDescent="0.3"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5" x14ac:dyDescent="0.3"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7" spans="2:15" x14ac:dyDescent="0.3"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</row>
    <row r="118" spans="2:15" x14ac:dyDescent="0.3"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5" x14ac:dyDescent="0.3"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</row>
    <row r="120" spans="2:15" x14ac:dyDescent="0.3"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</row>
    <row r="121" spans="2:15" x14ac:dyDescent="0.3"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</row>
    <row r="122" spans="2:15" x14ac:dyDescent="0.3"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</row>
    <row r="123" spans="2:15" x14ac:dyDescent="0.3"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</row>
    <row r="124" spans="2:15" x14ac:dyDescent="0.3"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</row>
    <row r="125" spans="2:15" x14ac:dyDescent="0.3"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</row>
    <row r="126" spans="2:15" x14ac:dyDescent="0.3"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</row>
    <row r="127" spans="2:15" x14ac:dyDescent="0.3"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</row>
    <row r="128" spans="2:15" x14ac:dyDescent="0.3"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</row>
    <row r="129" spans="2:15" x14ac:dyDescent="0.3"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</row>
    <row r="130" spans="2:15" x14ac:dyDescent="0.3"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</row>
    <row r="131" spans="2:15" x14ac:dyDescent="0.3"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</row>
    <row r="132" spans="2:15" x14ac:dyDescent="0.3"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</row>
    <row r="133" spans="2:15" x14ac:dyDescent="0.3"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</row>
    <row r="134" spans="2:15" x14ac:dyDescent="0.3"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</row>
    <row r="135" spans="2:15" x14ac:dyDescent="0.3"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</row>
    <row r="136" spans="2:15" x14ac:dyDescent="0.3"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</row>
    <row r="137" spans="2:15" x14ac:dyDescent="0.3"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</row>
    <row r="138" spans="2:15" x14ac:dyDescent="0.3"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</row>
    <row r="139" spans="2:15" x14ac:dyDescent="0.3"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</row>
    <row r="140" spans="2:15" x14ac:dyDescent="0.3"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 x14ac:dyDescent="0.3"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 x14ac:dyDescent="0.3"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</sheetData>
  <mergeCells count="28">
    <mergeCell ref="L80:M80"/>
    <mergeCell ref="L82:M82"/>
    <mergeCell ref="L84:N84"/>
    <mergeCell ref="K74:L74"/>
    <mergeCell ref="I76:K76"/>
    <mergeCell ref="G55:H55"/>
    <mergeCell ref="K55:M55"/>
    <mergeCell ref="J59:K59"/>
    <mergeCell ref="K61:M61"/>
    <mergeCell ref="K72:L72"/>
    <mergeCell ref="J57:L57"/>
    <mergeCell ref="J35:L35"/>
    <mergeCell ref="G49:H49"/>
    <mergeCell ref="L49:M49"/>
    <mergeCell ref="L51:M51"/>
    <mergeCell ref="F53:I53"/>
    <mergeCell ref="K53:L53"/>
    <mergeCell ref="J32:L32"/>
    <mergeCell ref="J34:L34"/>
    <mergeCell ref="L25:M25"/>
    <mergeCell ref="L27:M27"/>
    <mergeCell ref="J30:M30"/>
    <mergeCell ref="M13:N13"/>
    <mergeCell ref="J31:L31"/>
    <mergeCell ref="G25:H25"/>
    <mergeCell ref="F28:I28"/>
    <mergeCell ref="K28:L28"/>
    <mergeCell ref="F30:H30"/>
  </mergeCells>
  <pageMargins left="0.511811024" right="0.511811024" top="0.78740157499999996" bottom="0.78740157499999996" header="0.31496062000000002" footer="0.3149606200000000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3"/>
  <dimension ref="A1:AJ141"/>
  <sheetViews>
    <sheetView workbookViewId="0">
      <selection activeCell="O23" sqref="O23"/>
    </sheetView>
  </sheetViews>
  <sheetFormatPr defaultRowHeight="15.6" x14ac:dyDescent="0.3"/>
  <cols>
    <col min="1" max="1" width="2.19921875" style="323" customWidth="1"/>
    <col min="2" max="2" width="9.3984375" style="329" customWidth="1"/>
    <col min="3" max="3" width="3.69921875" style="329" customWidth="1"/>
    <col min="4" max="4" width="3.3984375" style="329" customWidth="1"/>
    <col min="5" max="5" width="10.09765625" style="329" customWidth="1"/>
    <col min="6" max="6" width="5.59765625" style="329" customWidth="1"/>
    <col min="7" max="7" width="9.5" style="329" customWidth="1"/>
    <col min="8" max="8" width="8.59765625" style="329" customWidth="1"/>
    <col min="9" max="9" width="7.19921875" style="329" customWidth="1"/>
    <col min="10" max="10" width="2.09765625" style="329" customWidth="1"/>
    <col min="11" max="11" width="13" style="329" customWidth="1"/>
    <col min="12" max="12" width="3.3984375" style="329" customWidth="1"/>
    <col min="13" max="14" width="4.09765625" style="329" customWidth="1"/>
    <col min="15" max="15" width="2.69921875" style="323" customWidth="1"/>
    <col min="16" max="16" width="3.5" style="323" customWidth="1"/>
    <col min="17" max="17" width="5.09765625" style="67" customWidth="1"/>
    <col min="18" max="18" width="3" style="323" customWidth="1"/>
    <col min="19" max="19" width="10.3984375" style="323" bestFit="1" customWidth="1"/>
    <col min="20" max="26" width="9" style="323"/>
    <col min="27" max="257" width="9" style="329"/>
    <col min="258" max="258" width="9.3984375" style="329" customWidth="1"/>
    <col min="259" max="259" width="3.69921875" style="329" customWidth="1"/>
    <col min="260" max="260" width="2.69921875" style="329" customWidth="1"/>
    <col min="261" max="261" width="10.59765625" style="329" customWidth="1"/>
    <col min="262" max="262" width="6" style="329" customWidth="1"/>
    <col min="263" max="263" width="12" style="329" customWidth="1"/>
    <col min="264" max="264" width="6.8984375" style="329" customWidth="1"/>
    <col min="265" max="265" width="7.3984375" style="329" customWidth="1"/>
    <col min="266" max="266" width="2.09765625" style="329" customWidth="1"/>
    <col min="267" max="267" width="14.5" style="329" customWidth="1"/>
    <col min="268" max="268" width="3" style="329" customWidth="1"/>
    <col min="269" max="269" width="5.09765625" style="329" customWidth="1"/>
    <col min="270" max="270" width="10" style="329" customWidth="1"/>
    <col min="271" max="271" width="4.3984375" style="329" customWidth="1"/>
    <col min="272" max="272" width="3.5" style="329" customWidth="1"/>
    <col min="273" max="273" width="5.09765625" style="329" customWidth="1"/>
    <col min="274" max="274" width="3" style="329" customWidth="1"/>
    <col min="275" max="275" width="10.3984375" style="329" bestFit="1" customWidth="1"/>
    <col min="276" max="513" width="9" style="329"/>
    <col min="514" max="514" width="9.3984375" style="329" customWidth="1"/>
    <col min="515" max="515" width="3.69921875" style="329" customWidth="1"/>
    <col min="516" max="516" width="2.69921875" style="329" customWidth="1"/>
    <col min="517" max="517" width="10.59765625" style="329" customWidth="1"/>
    <col min="518" max="518" width="6" style="329" customWidth="1"/>
    <col min="519" max="519" width="12" style="329" customWidth="1"/>
    <col min="520" max="520" width="6.8984375" style="329" customWidth="1"/>
    <col min="521" max="521" width="7.3984375" style="329" customWidth="1"/>
    <col min="522" max="522" width="2.09765625" style="329" customWidth="1"/>
    <col min="523" max="523" width="14.5" style="329" customWidth="1"/>
    <col min="524" max="524" width="3" style="329" customWidth="1"/>
    <col min="525" max="525" width="5.09765625" style="329" customWidth="1"/>
    <col min="526" max="526" width="10" style="329" customWidth="1"/>
    <col min="527" max="527" width="4.3984375" style="329" customWidth="1"/>
    <col min="528" max="528" width="3.5" style="329" customWidth="1"/>
    <col min="529" max="529" width="5.09765625" style="329" customWidth="1"/>
    <col min="530" max="530" width="3" style="329" customWidth="1"/>
    <col min="531" max="531" width="10.3984375" style="329" bestFit="1" customWidth="1"/>
    <col min="532" max="769" width="9" style="329"/>
    <col min="770" max="770" width="9.3984375" style="329" customWidth="1"/>
    <col min="771" max="771" width="3.69921875" style="329" customWidth="1"/>
    <col min="772" max="772" width="2.69921875" style="329" customWidth="1"/>
    <col min="773" max="773" width="10.59765625" style="329" customWidth="1"/>
    <col min="774" max="774" width="6" style="329" customWidth="1"/>
    <col min="775" max="775" width="12" style="329" customWidth="1"/>
    <col min="776" max="776" width="6.8984375" style="329" customWidth="1"/>
    <col min="777" max="777" width="7.3984375" style="329" customWidth="1"/>
    <col min="778" max="778" width="2.09765625" style="329" customWidth="1"/>
    <col min="779" max="779" width="14.5" style="329" customWidth="1"/>
    <col min="780" max="780" width="3" style="329" customWidth="1"/>
    <col min="781" max="781" width="5.09765625" style="329" customWidth="1"/>
    <col min="782" max="782" width="10" style="329" customWidth="1"/>
    <col min="783" max="783" width="4.3984375" style="329" customWidth="1"/>
    <col min="784" max="784" width="3.5" style="329" customWidth="1"/>
    <col min="785" max="785" width="5.09765625" style="329" customWidth="1"/>
    <col min="786" max="786" width="3" style="329" customWidth="1"/>
    <col min="787" max="787" width="10.3984375" style="329" bestFit="1" customWidth="1"/>
    <col min="788" max="1025" width="9" style="329"/>
    <col min="1026" max="1026" width="9.3984375" style="329" customWidth="1"/>
    <col min="1027" max="1027" width="3.69921875" style="329" customWidth="1"/>
    <col min="1028" max="1028" width="2.69921875" style="329" customWidth="1"/>
    <col min="1029" max="1029" width="10.59765625" style="329" customWidth="1"/>
    <col min="1030" max="1030" width="6" style="329" customWidth="1"/>
    <col min="1031" max="1031" width="12" style="329" customWidth="1"/>
    <col min="1032" max="1032" width="6.8984375" style="329" customWidth="1"/>
    <col min="1033" max="1033" width="7.3984375" style="329" customWidth="1"/>
    <col min="1034" max="1034" width="2.09765625" style="329" customWidth="1"/>
    <col min="1035" max="1035" width="14.5" style="329" customWidth="1"/>
    <col min="1036" max="1036" width="3" style="329" customWidth="1"/>
    <col min="1037" max="1037" width="5.09765625" style="329" customWidth="1"/>
    <col min="1038" max="1038" width="10" style="329" customWidth="1"/>
    <col min="1039" max="1039" width="4.3984375" style="329" customWidth="1"/>
    <col min="1040" max="1040" width="3.5" style="329" customWidth="1"/>
    <col min="1041" max="1041" width="5.09765625" style="329" customWidth="1"/>
    <col min="1042" max="1042" width="3" style="329" customWidth="1"/>
    <col min="1043" max="1043" width="10.3984375" style="329" bestFit="1" customWidth="1"/>
    <col min="1044" max="1281" width="9" style="329"/>
    <col min="1282" max="1282" width="9.3984375" style="329" customWidth="1"/>
    <col min="1283" max="1283" width="3.69921875" style="329" customWidth="1"/>
    <col min="1284" max="1284" width="2.69921875" style="329" customWidth="1"/>
    <col min="1285" max="1285" width="10.59765625" style="329" customWidth="1"/>
    <col min="1286" max="1286" width="6" style="329" customWidth="1"/>
    <col min="1287" max="1287" width="12" style="329" customWidth="1"/>
    <col min="1288" max="1288" width="6.8984375" style="329" customWidth="1"/>
    <col min="1289" max="1289" width="7.3984375" style="329" customWidth="1"/>
    <col min="1290" max="1290" width="2.09765625" style="329" customWidth="1"/>
    <col min="1291" max="1291" width="14.5" style="329" customWidth="1"/>
    <col min="1292" max="1292" width="3" style="329" customWidth="1"/>
    <col min="1293" max="1293" width="5.09765625" style="329" customWidth="1"/>
    <col min="1294" max="1294" width="10" style="329" customWidth="1"/>
    <col min="1295" max="1295" width="4.3984375" style="329" customWidth="1"/>
    <col min="1296" max="1296" width="3.5" style="329" customWidth="1"/>
    <col min="1297" max="1297" width="5.09765625" style="329" customWidth="1"/>
    <col min="1298" max="1298" width="3" style="329" customWidth="1"/>
    <col min="1299" max="1299" width="10.3984375" style="329" bestFit="1" customWidth="1"/>
    <col min="1300" max="1537" width="9" style="329"/>
    <col min="1538" max="1538" width="9.3984375" style="329" customWidth="1"/>
    <col min="1539" max="1539" width="3.69921875" style="329" customWidth="1"/>
    <col min="1540" max="1540" width="2.69921875" style="329" customWidth="1"/>
    <col min="1541" max="1541" width="10.59765625" style="329" customWidth="1"/>
    <col min="1542" max="1542" width="6" style="329" customWidth="1"/>
    <col min="1543" max="1543" width="12" style="329" customWidth="1"/>
    <col min="1544" max="1544" width="6.8984375" style="329" customWidth="1"/>
    <col min="1545" max="1545" width="7.3984375" style="329" customWidth="1"/>
    <col min="1546" max="1546" width="2.09765625" style="329" customWidth="1"/>
    <col min="1547" max="1547" width="14.5" style="329" customWidth="1"/>
    <col min="1548" max="1548" width="3" style="329" customWidth="1"/>
    <col min="1549" max="1549" width="5.09765625" style="329" customWidth="1"/>
    <col min="1550" max="1550" width="10" style="329" customWidth="1"/>
    <col min="1551" max="1551" width="4.3984375" style="329" customWidth="1"/>
    <col min="1552" max="1552" width="3.5" style="329" customWidth="1"/>
    <col min="1553" max="1553" width="5.09765625" style="329" customWidth="1"/>
    <col min="1554" max="1554" width="3" style="329" customWidth="1"/>
    <col min="1555" max="1555" width="10.3984375" style="329" bestFit="1" customWidth="1"/>
    <col min="1556" max="1793" width="9" style="329"/>
    <col min="1794" max="1794" width="9.3984375" style="329" customWidth="1"/>
    <col min="1795" max="1795" width="3.69921875" style="329" customWidth="1"/>
    <col min="1796" max="1796" width="2.69921875" style="329" customWidth="1"/>
    <col min="1797" max="1797" width="10.59765625" style="329" customWidth="1"/>
    <col min="1798" max="1798" width="6" style="329" customWidth="1"/>
    <col min="1799" max="1799" width="12" style="329" customWidth="1"/>
    <col min="1800" max="1800" width="6.8984375" style="329" customWidth="1"/>
    <col min="1801" max="1801" width="7.3984375" style="329" customWidth="1"/>
    <col min="1802" max="1802" width="2.09765625" style="329" customWidth="1"/>
    <col min="1803" max="1803" width="14.5" style="329" customWidth="1"/>
    <col min="1804" max="1804" width="3" style="329" customWidth="1"/>
    <col min="1805" max="1805" width="5.09765625" style="329" customWidth="1"/>
    <col min="1806" max="1806" width="10" style="329" customWidth="1"/>
    <col min="1807" max="1807" width="4.3984375" style="329" customWidth="1"/>
    <col min="1808" max="1808" width="3.5" style="329" customWidth="1"/>
    <col min="1809" max="1809" width="5.09765625" style="329" customWidth="1"/>
    <col min="1810" max="1810" width="3" style="329" customWidth="1"/>
    <col min="1811" max="1811" width="10.3984375" style="329" bestFit="1" customWidth="1"/>
    <col min="1812" max="2049" width="9" style="329"/>
    <col min="2050" max="2050" width="9.3984375" style="329" customWidth="1"/>
    <col min="2051" max="2051" width="3.69921875" style="329" customWidth="1"/>
    <col min="2052" max="2052" width="2.69921875" style="329" customWidth="1"/>
    <col min="2053" max="2053" width="10.59765625" style="329" customWidth="1"/>
    <col min="2054" max="2054" width="6" style="329" customWidth="1"/>
    <col min="2055" max="2055" width="12" style="329" customWidth="1"/>
    <col min="2056" max="2056" width="6.8984375" style="329" customWidth="1"/>
    <col min="2057" max="2057" width="7.3984375" style="329" customWidth="1"/>
    <col min="2058" max="2058" width="2.09765625" style="329" customWidth="1"/>
    <col min="2059" max="2059" width="14.5" style="329" customWidth="1"/>
    <col min="2060" max="2060" width="3" style="329" customWidth="1"/>
    <col min="2061" max="2061" width="5.09765625" style="329" customWidth="1"/>
    <col min="2062" max="2062" width="10" style="329" customWidth="1"/>
    <col min="2063" max="2063" width="4.3984375" style="329" customWidth="1"/>
    <col min="2064" max="2064" width="3.5" style="329" customWidth="1"/>
    <col min="2065" max="2065" width="5.09765625" style="329" customWidth="1"/>
    <col min="2066" max="2066" width="3" style="329" customWidth="1"/>
    <col min="2067" max="2067" width="10.3984375" style="329" bestFit="1" customWidth="1"/>
    <col min="2068" max="2305" width="9" style="329"/>
    <col min="2306" max="2306" width="9.3984375" style="329" customWidth="1"/>
    <col min="2307" max="2307" width="3.69921875" style="329" customWidth="1"/>
    <col min="2308" max="2308" width="2.69921875" style="329" customWidth="1"/>
    <col min="2309" max="2309" width="10.59765625" style="329" customWidth="1"/>
    <col min="2310" max="2310" width="6" style="329" customWidth="1"/>
    <col min="2311" max="2311" width="12" style="329" customWidth="1"/>
    <col min="2312" max="2312" width="6.8984375" style="329" customWidth="1"/>
    <col min="2313" max="2313" width="7.3984375" style="329" customWidth="1"/>
    <col min="2314" max="2314" width="2.09765625" style="329" customWidth="1"/>
    <col min="2315" max="2315" width="14.5" style="329" customWidth="1"/>
    <col min="2316" max="2316" width="3" style="329" customWidth="1"/>
    <col min="2317" max="2317" width="5.09765625" style="329" customWidth="1"/>
    <col min="2318" max="2318" width="10" style="329" customWidth="1"/>
    <col min="2319" max="2319" width="4.3984375" style="329" customWidth="1"/>
    <col min="2320" max="2320" width="3.5" style="329" customWidth="1"/>
    <col min="2321" max="2321" width="5.09765625" style="329" customWidth="1"/>
    <col min="2322" max="2322" width="3" style="329" customWidth="1"/>
    <col min="2323" max="2323" width="10.3984375" style="329" bestFit="1" customWidth="1"/>
    <col min="2324" max="2561" width="9" style="329"/>
    <col min="2562" max="2562" width="9.3984375" style="329" customWidth="1"/>
    <col min="2563" max="2563" width="3.69921875" style="329" customWidth="1"/>
    <col min="2564" max="2564" width="2.69921875" style="329" customWidth="1"/>
    <col min="2565" max="2565" width="10.59765625" style="329" customWidth="1"/>
    <col min="2566" max="2566" width="6" style="329" customWidth="1"/>
    <col min="2567" max="2567" width="12" style="329" customWidth="1"/>
    <col min="2568" max="2568" width="6.8984375" style="329" customWidth="1"/>
    <col min="2569" max="2569" width="7.3984375" style="329" customWidth="1"/>
    <col min="2570" max="2570" width="2.09765625" style="329" customWidth="1"/>
    <col min="2571" max="2571" width="14.5" style="329" customWidth="1"/>
    <col min="2572" max="2572" width="3" style="329" customWidth="1"/>
    <col min="2573" max="2573" width="5.09765625" style="329" customWidth="1"/>
    <col min="2574" max="2574" width="10" style="329" customWidth="1"/>
    <col min="2575" max="2575" width="4.3984375" style="329" customWidth="1"/>
    <col min="2576" max="2576" width="3.5" style="329" customWidth="1"/>
    <col min="2577" max="2577" width="5.09765625" style="329" customWidth="1"/>
    <col min="2578" max="2578" width="3" style="329" customWidth="1"/>
    <col min="2579" max="2579" width="10.3984375" style="329" bestFit="1" customWidth="1"/>
    <col min="2580" max="2817" width="9" style="329"/>
    <col min="2818" max="2818" width="9.3984375" style="329" customWidth="1"/>
    <col min="2819" max="2819" width="3.69921875" style="329" customWidth="1"/>
    <col min="2820" max="2820" width="2.69921875" style="329" customWidth="1"/>
    <col min="2821" max="2821" width="10.59765625" style="329" customWidth="1"/>
    <col min="2822" max="2822" width="6" style="329" customWidth="1"/>
    <col min="2823" max="2823" width="12" style="329" customWidth="1"/>
    <col min="2824" max="2824" width="6.8984375" style="329" customWidth="1"/>
    <col min="2825" max="2825" width="7.3984375" style="329" customWidth="1"/>
    <col min="2826" max="2826" width="2.09765625" style="329" customWidth="1"/>
    <col min="2827" max="2827" width="14.5" style="329" customWidth="1"/>
    <col min="2828" max="2828" width="3" style="329" customWidth="1"/>
    <col min="2829" max="2829" width="5.09765625" style="329" customWidth="1"/>
    <col min="2830" max="2830" width="10" style="329" customWidth="1"/>
    <col min="2831" max="2831" width="4.3984375" style="329" customWidth="1"/>
    <col min="2832" max="2832" width="3.5" style="329" customWidth="1"/>
    <col min="2833" max="2833" width="5.09765625" style="329" customWidth="1"/>
    <col min="2834" max="2834" width="3" style="329" customWidth="1"/>
    <col min="2835" max="2835" width="10.3984375" style="329" bestFit="1" customWidth="1"/>
    <col min="2836" max="3073" width="9" style="329"/>
    <col min="3074" max="3074" width="9.3984375" style="329" customWidth="1"/>
    <col min="3075" max="3075" width="3.69921875" style="329" customWidth="1"/>
    <col min="3076" max="3076" width="2.69921875" style="329" customWidth="1"/>
    <col min="3077" max="3077" width="10.59765625" style="329" customWidth="1"/>
    <col min="3078" max="3078" width="6" style="329" customWidth="1"/>
    <col min="3079" max="3079" width="12" style="329" customWidth="1"/>
    <col min="3080" max="3080" width="6.8984375" style="329" customWidth="1"/>
    <col min="3081" max="3081" width="7.3984375" style="329" customWidth="1"/>
    <col min="3082" max="3082" width="2.09765625" style="329" customWidth="1"/>
    <col min="3083" max="3083" width="14.5" style="329" customWidth="1"/>
    <col min="3084" max="3084" width="3" style="329" customWidth="1"/>
    <col min="3085" max="3085" width="5.09765625" style="329" customWidth="1"/>
    <col min="3086" max="3086" width="10" style="329" customWidth="1"/>
    <col min="3087" max="3087" width="4.3984375" style="329" customWidth="1"/>
    <col min="3088" max="3088" width="3.5" style="329" customWidth="1"/>
    <col min="3089" max="3089" width="5.09765625" style="329" customWidth="1"/>
    <col min="3090" max="3090" width="3" style="329" customWidth="1"/>
    <col min="3091" max="3091" width="10.3984375" style="329" bestFit="1" customWidth="1"/>
    <col min="3092" max="3329" width="9" style="329"/>
    <col min="3330" max="3330" width="9.3984375" style="329" customWidth="1"/>
    <col min="3331" max="3331" width="3.69921875" style="329" customWidth="1"/>
    <col min="3332" max="3332" width="2.69921875" style="329" customWidth="1"/>
    <col min="3333" max="3333" width="10.59765625" style="329" customWidth="1"/>
    <col min="3334" max="3334" width="6" style="329" customWidth="1"/>
    <col min="3335" max="3335" width="12" style="329" customWidth="1"/>
    <col min="3336" max="3336" width="6.8984375" style="329" customWidth="1"/>
    <col min="3337" max="3337" width="7.3984375" style="329" customWidth="1"/>
    <col min="3338" max="3338" width="2.09765625" style="329" customWidth="1"/>
    <col min="3339" max="3339" width="14.5" style="329" customWidth="1"/>
    <col min="3340" max="3340" width="3" style="329" customWidth="1"/>
    <col min="3341" max="3341" width="5.09765625" style="329" customWidth="1"/>
    <col min="3342" max="3342" width="10" style="329" customWidth="1"/>
    <col min="3343" max="3343" width="4.3984375" style="329" customWidth="1"/>
    <col min="3344" max="3344" width="3.5" style="329" customWidth="1"/>
    <col min="3345" max="3345" width="5.09765625" style="329" customWidth="1"/>
    <col min="3346" max="3346" width="3" style="329" customWidth="1"/>
    <col min="3347" max="3347" width="10.3984375" style="329" bestFit="1" customWidth="1"/>
    <col min="3348" max="3585" width="9" style="329"/>
    <col min="3586" max="3586" width="9.3984375" style="329" customWidth="1"/>
    <col min="3587" max="3587" width="3.69921875" style="329" customWidth="1"/>
    <col min="3588" max="3588" width="2.69921875" style="329" customWidth="1"/>
    <col min="3589" max="3589" width="10.59765625" style="329" customWidth="1"/>
    <col min="3590" max="3590" width="6" style="329" customWidth="1"/>
    <col min="3591" max="3591" width="12" style="329" customWidth="1"/>
    <col min="3592" max="3592" width="6.8984375" style="329" customWidth="1"/>
    <col min="3593" max="3593" width="7.3984375" style="329" customWidth="1"/>
    <col min="3594" max="3594" width="2.09765625" style="329" customWidth="1"/>
    <col min="3595" max="3595" width="14.5" style="329" customWidth="1"/>
    <col min="3596" max="3596" width="3" style="329" customWidth="1"/>
    <col min="3597" max="3597" width="5.09765625" style="329" customWidth="1"/>
    <col min="3598" max="3598" width="10" style="329" customWidth="1"/>
    <col min="3599" max="3599" width="4.3984375" style="329" customWidth="1"/>
    <col min="3600" max="3600" width="3.5" style="329" customWidth="1"/>
    <col min="3601" max="3601" width="5.09765625" style="329" customWidth="1"/>
    <col min="3602" max="3602" width="3" style="329" customWidth="1"/>
    <col min="3603" max="3603" width="10.3984375" style="329" bestFit="1" customWidth="1"/>
    <col min="3604" max="3841" width="9" style="329"/>
    <col min="3842" max="3842" width="9.3984375" style="329" customWidth="1"/>
    <col min="3843" max="3843" width="3.69921875" style="329" customWidth="1"/>
    <col min="3844" max="3844" width="2.69921875" style="329" customWidth="1"/>
    <col min="3845" max="3845" width="10.59765625" style="329" customWidth="1"/>
    <col min="3846" max="3846" width="6" style="329" customWidth="1"/>
    <col min="3847" max="3847" width="12" style="329" customWidth="1"/>
    <col min="3848" max="3848" width="6.8984375" style="329" customWidth="1"/>
    <col min="3849" max="3849" width="7.3984375" style="329" customWidth="1"/>
    <col min="3850" max="3850" width="2.09765625" style="329" customWidth="1"/>
    <col min="3851" max="3851" width="14.5" style="329" customWidth="1"/>
    <col min="3852" max="3852" width="3" style="329" customWidth="1"/>
    <col min="3853" max="3853" width="5.09765625" style="329" customWidth="1"/>
    <col min="3854" max="3854" width="10" style="329" customWidth="1"/>
    <col min="3855" max="3855" width="4.3984375" style="329" customWidth="1"/>
    <col min="3856" max="3856" width="3.5" style="329" customWidth="1"/>
    <col min="3857" max="3857" width="5.09765625" style="329" customWidth="1"/>
    <col min="3858" max="3858" width="3" style="329" customWidth="1"/>
    <col min="3859" max="3859" width="10.3984375" style="329" bestFit="1" customWidth="1"/>
    <col min="3860" max="4097" width="9" style="329"/>
    <col min="4098" max="4098" width="9.3984375" style="329" customWidth="1"/>
    <col min="4099" max="4099" width="3.69921875" style="329" customWidth="1"/>
    <col min="4100" max="4100" width="2.69921875" style="329" customWidth="1"/>
    <col min="4101" max="4101" width="10.59765625" style="329" customWidth="1"/>
    <col min="4102" max="4102" width="6" style="329" customWidth="1"/>
    <col min="4103" max="4103" width="12" style="329" customWidth="1"/>
    <col min="4104" max="4104" width="6.8984375" style="329" customWidth="1"/>
    <col min="4105" max="4105" width="7.3984375" style="329" customWidth="1"/>
    <col min="4106" max="4106" width="2.09765625" style="329" customWidth="1"/>
    <col min="4107" max="4107" width="14.5" style="329" customWidth="1"/>
    <col min="4108" max="4108" width="3" style="329" customWidth="1"/>
    <col min="4109" max="4109" width="5.09765625" style="329" customWidth="1"/>
    <col min="4110" max="4110" width="10" style="329" customWidth="1"/>
    <col min="4111" max="4111" width="4.3984375" style="329" customWidth="1"/>
    <col min="4112" max="4112" width="3.5" style="329" customWidth="1"/>
    <col min="4113" max="4113" width="5.09765625" style="329" customWidth="1"/>
    <col min="4114" max="4114" width="3" style="329" customWidth="1"/>
    <col min="4115" max="4115" width="10.3984375" style="329" bestFit="1" customWidth="1"/>
    <col min="4116" max="4353" width="9" style="329"/>
    <col min="4354" max="4354" width="9.3984375" style="329" customWidth="1"/>
    <col min="4355" max="4355" width="3.69921875" style="329" customWidth="1"/>
    <col min="4356" max="4356" width="2.69921875" style="329" customWidth="1"/>
    <col min="4357" max="4357" width="10.59765625" style="329" customWidth="1"/>
    <col min="4358" max="4358" width="6" style="329" customWidth="1"/>
    <col min="4359" max="4359" width="12" style="329" customWidth="1"/>
    <col min="4360" max="4360" width="6.8984375" style="329" customWidth="1"/>
    <col min="4361" max="4361" width="7.3984375" style="329" customWidth="1"/>
    <col min="4362" max="4362" width="2.09765625" style="329" customWidth="1"/>
    <col min="4363" max="4363" width="14.5" style="329" customWidth="1"/>
    <col min="4364" max="4364" width="3" style="329" customWidth="1"/>
    <col min="4365" max="4365" width="5.09765625" style="329" customWidth="1"/>
    <col min="4366" max="4366" width="10" style="329" customWidth="1"/>
    <col min="4367" max="4367" width="4.3984375" style="329" customWidth="1"/>
    <col min="4368" max="4368" width="3.5" style="329" customWidth="1"/>
    <col min="4369" max="4369" width="5.09765625" style="329" customWidth="1"/>
    <col min="4370" max="4370" width="3" style="329" customWidth="1"/>
    <col min="4371" max="4371" width="10.3984375" style="329" bestFit="1" customWidth="1"/>
    <col min="4372" max="4609" width="9" style="329"/>
    <col min="4610" max="4610" width="9.3984375" style="329" customWidth="1"/>
    <col min="4611" max="4611" width="3.69921875" style="329" customWidth="1"/>
    <col min="4612" max="4612" width="2.69921875" style="329" customWidth="1"/>
    <col min="4613" max="4613" width="10.59765625" style="329" customWidth="1"/>
    <col min="4614" max="4614" width="6" style="329" customWidth="1"/>
    <col min="4615" max="4615" width="12" style="329" customWidth="1"/>
    <col min="4616" max="4616" width="6.8984375" style="329" customWidth="1"/>
    <col min="4617" max="4617" width="7.3984375" style="329" customWidth="1"/>
    <col min="4618" max="4618" width="2.09765625" style="329" customWidth="1"/>
    <col min="4619" max="4619" width="14.5" style="329" customWidth="1"/>
    <col min="4620" max="4620" width="3" style="329" customWidth="1"/>
    <col min="4621" max="4621" width="5.09765625" style="329" customWidth="1"/>
    <col min="4622" max="4622" width="10" style="329" customWidth="1"/>
    <col min="4623" max="4623" width="4.3984375" style="329" customWidth="1"/>
    <col min="4624" max="4624" width="3.5" style="329" customWidth="1"/>
    <col min="4625" max="4625" width="5.09765625" style="329" customWidth="1"/>
    <col min="4626" max="4626" width="3" style="329" customWidth="1"/>
    <col min="4627" max="4627" width="10.3984375" style="329" bestFit="1" customWidth="1"/>
    <col min="4628" max="4865" width="9" style="329"/>
    <col min="4866" max="4866" width="9.3984375" style="329" customWidth="1"/>
    <col min="4867" max="4867" width="3.69921875" style="329" customWidth="1"/>
    <col min="4868" max="4868" width="2.69921875" style="329" customWidth="1"/>
    <col min="4869" max="4869" width="10.59765625" style="329" customWidth="1"/>
    <col min="4870" max="4870" width="6" style="329" customWidth="1"/>
    <col min="4871" max="4871" width="12" style="329" customWidth="1"/>
    <col min="4872" max="4872" width="6.8984375" style="329" customWidth="1"/>
    <col min="4873" max="4873" width="7.3984375" style="329" customWidth="1"/>
    <col min="4874" max="4874" width="2.09765625" style="329" customWidth="1"/>
    <col min="4875" max="4875" width="14.5" style="329" customWidth="1"/>
    <col min="4876" max="4876" width="3" style="329" customWidth="1"/>
    <col min="4877" max="4877" width="5.09765625" style="329" customWidth="1"/>
    <col min="4878" max="4878" width="10" style="329" customWidth="1"/>
    <col min="4879" max="4879" width="4.3984375" style="329" customWidth="1"/>
    <col min="4880" max="4880" width="3.5" style="329" customWidth="1"/>
    <col min="4881" max="4881" width="5.09765625" style="329" customWidth="1"/>
    <col min="4882" max="4882" width="3" style="329" customWidth="1"/>
    <col min="4883" max="4883" width="10.3984375" style="329" bestFit="1" customWidth="1"/>
    <col min="4884" max="5121" width="9" style="329"/>
    <col min="5122" max="5122" width="9.3984375" style="329" customWidth="1"/>
    <col min="5123" max="5123" width="3.69921875" style="329" customWidth="1"/>
    <col min="5124" max="5124" width="2.69921875" style="329" customWidth="1"/>
    <col min="5125" max="5125" width="10.59765625" style="329" customWidth="1"/>
    <col min="5126" max="5126" width="6" style="329" customWidth="1"/>
    <col min="5127" max="5127" width="12" style="329" customWidth="1"/>
    <col min="5128" max="5128" width="6.8984375" style="329" customWidth="1"/>
    <col min="5129" max="5129" width="7.3984375" style="329" customWidth="1"/>
    <col min="5130" max="5130" width="2.09765625" style="329" customWidth="1"/>
    <col min="5131" max="5131" width="14.5" style="329" customWidth="1"/>
    <col min="5132" max="5132" width="3" style="329" customWidth="1"/>
    <col min="5133" max="5133" width="5.09765625" style="329" customWidth="1"/>
    <col min="5134" max="5134" width="10" style="329" customWidth="1"/>
    <col min="5135" max="5135" width="4.3984375" style="329" customWidth="1"/>
    <col min="5136" max="5136" width="3.5" style="329" customWidth="1"/>
    <col min="5137" max="5137" width="5.09765625" style="329" customWidth="1"/>
    <col min="5138" max="5138" width="3" style="329" customWidth="1"/>
    <col min="5139" max="5139" width="10.3984375" style="329" bestFit="1" customWidth="1"/>
    <col min="5140" max="5377" width="9" style="329"/>
    <col min="5378" max="5378" width="9.3984375" style="329" customWidth="1"/>
    <col min="5379" max="5379" width="3.69921875" style="329" customWidth="1"/>
    <col min="5380" max="5380" width="2.69921875" style="329" customWidth="1"/>
    <col min="5381" max="5381" width="10.59765625" style="329" customWidth="1"/>
    <col min="5382" max="5382" width="6" style="329" customWidth="1"/>
    <col min="5383" max="5383" width="12" style="329" customWidth="1"/>
    <col min="5384" max="5384" width="6.8984375" style="329" customWidth="1"/>
    <col min="5385" max="5385" width="7.3984375" style="329" customWidth="1"/>
    <col min="5386" max="5386" width="2.09765625" style="329" customWidth="1"/>
    <col min="5387" max="5387" width="14.5" style="329" customWidth="1"/>
    <col min="5388" max="5388" width="3" style="329" customWidth="1"/>
    <col min="5389" max="5389" width="5.09765625" style="329" customWidth="1"/>
    <col min="5390" max="5390" width="10" style="329" customWidth="1"/>
    <col min="5391" max="5391" width="4.3984375" style="329" customWidth="1"/>
    <col min="5392" max="5392" width="3.5" style="329" customWidth="1"/>
    <col min="5393" max="5393" width="5.09765625" style="329" customWidth="1"/>
    <col min="5394" max="5394" width="3" style="329" customWidth="1"/>
    <col min="5395" max="5395" width="10.3984375" style="329" bestFit="1" customWidth="1"/>
    <col min="5396" max="5633" width="9" style="329"/>
    <col min="5634" max="5634" width="9.3984375" style="329" customWidth="1"/>
    <col min="5635" max="5635" width="3.69921875" style="329" customWidth="1"/>
    <col min="5636" max="5636" width="2.69921875" style="329" customWidth="1"/>
    <col min="5637" max="5637" width="10.59765625" style="329" customWidth="1"/>
    <col min="5638" max="5638" width="6" style="329" customWidth="1"/>
    <col min="5639" max="5639" width="12" style="329" customWidth="1"/>
    <col min="5640" max="5640" width="6.8984375" style="329" customWidth="1"/>
    <col min="5641" max="5641" width="7.3984375" style="329" customWidth="1"/>
    <col min="5642" max="5642" width="2.09765625" style="329" customWidth="1"/>
    <col min="5643" max="5643" width="14.5" style="329" customWidth="1"/>
    <col min="5644" max="5644" width="3" style="329" customWidth="1"/>
    <col min="5645" max="5645" width="5.09765625" style="329" customWidth="1"/>
    <col min="5646" max="5646" width="10" style="329" customWidth="1"/>
    <col min="5647" max="5647" width="4.3984375" style="329" customWidth="1"/>
    <col min="5648" max="5648" width="3.5" style="329" customWidth="1"/>
    <col min="5649" max="5649" width="5.09765625" style="329" customWidth="1"/>
    <col min="5650" max="5650" width="3" style="329" customWidth="1"/>
    <col min="5651" max="5651" width="10.3984375" style="329" bestFit="1" customWidth="1"/>
    <col min="5652" max="5889" width="9" style="329"/>
    <col min="5890" max="5890" width="9.3984375" style="329" customWidth="1"/>
    <col min="5891" max="5891" width="3.69921875" style="329" customWidth="1"/>
    <col min="5892" max="5892" width="2.69921875" style="329" customWidth="1"/>
    <col min="5893" max="5893" width="10.59765625" style="329" customWidth="1"/>
    <col min="5894" max="5894" width="6" style="329" customWidth="1"/>
    <col min="5895" max="5895" width="12" style="329" customWidth="1"/>
    <col min="5896" max="5896" width="6.8984375" style="329" customWidth="1"/>
    <col min="5897" max="5897" width="7.3984375" style="329" customWidth="1"/>
    <col min="5898" max="5898" width="2.09765625" style="329" customWidth="1"/>
    <col min="5899" max="5899" width="14.5" style="329" customWidth="1"/>
    <col min="5900" max="5900" width="3" style="329" customWidth="1"/>
    <col min="5901" max="5901" width="5.09765625" style="329" customWidth="1"/>
    <col min="5902" max="5902" width="10" style="329" customWidth="1"/>
    <col min="5903" max="5903" width="4.3984375" style="329" customWidth="1"/>
    <col min="5904" max="5904" width="3.5" style="329" customWidth="1"/>
    <col min="5905" max="5905" width="5.09765625" style="329" customWidth="1"/>
    <col min="5906" max="5906" width="3" style="329" customWidth="1"/>
    <col min="5907" max="5907" width="10.3984375" style="329" bestFit="1" customWidth="1"/>
    <col min="5908" max="6145" width="9" style="329"/>
    <col min="6146" max="6146" width="9.3984375" style="329" customWidth="1"/>
    <col min="6147" max="6147" width="3.69921875" style="329" customWidth="1"/>
    <col min="6148" max="6148" width="2.69921875" style="329" customWidth="1"/>
    <col min="6149" max="6149" width="10.59765625" style="329" customWidth="1"/>
    <col min="6150" max="6150" width="6" style="329" customWidth="1"/>
    <col min="6151" max="6151" width="12" style="329" customWidth="1"/>
    <col min="6152" max="6152" width="6.8984375" style="329" customWidth="1"/>
    <col min="6153" max="6153" width="7.3984375" style="329" customWidth="1"/>
    <col min="6154" max="6154" width="2.09765625" style="329" customWidth="1"/>
    <col min="6155" max="6155" width="14.5" style="329" customWidth="1"/>
    <col min="6156" max="6156" width="3" style="329" customWidth="1"/>
    <col min="6157" max="6157" width="5.09765625" style="329" customWidth="1"/>
    <col min="6158" max="6158" width="10" style="329" customWidth="1"/>
    <col min="6159" max="6159" width="4.3984375" style="329" customWidth="1"/>
    <col min="6160" max="6160" width="3.5" style="329" customWidth="1"/>
    <col min="6161" max="6161" width="5.09765625" style="329" customWidth="1"/>
    <col min="6162" max="6162" width="3" style="329" customWidth="1"/>
    <col min="6163" max="6163" width="10.3984375" style="329" bestFit="1" customWidth="1"/>
    <col min="6164" max="6401" width="9" style="329"/>
    <col min="6402" max="6402" width="9.3984375" style="329" customWidth="1"/>
    <col min="6403" max="6403" width="3.69921875" style="329" customWidth="1"/>
    <col min="6404" max="6404" width="2.69921875" style="329" customWidth="1"/>
    <col min="6405" max="6405" width="10.59765625" style="329" customWidth="1"/>
    <col min="6406" max="6406" width="6" style="329" customWidth="1"/>
    <col min="6407" max="6407" width="12" style="329" customWidth="1"/>
    <col min="6408" max="6408" width="6.8984375" style="329" customWidth="1"/>
    <col min="6409" max="6409" width="7.3984375" style="329" customWidth="1"/>
    <col min="6410" max="6410" width="2.09765625" style="329" customWidth="1"/>
    <col min="6411" max="6411" width="14.5" style="329" customWidth="1"/>
    <col min="6412" max="6412" width="3" style="329" customWidth="1"/>
    <col min="6413" max="6413" width="5.09765625" style="329" customWidth="1"/>
    <col min="6414" max="6414" width="10" style="329" customWidth="1"/>
    <col min="6415" max="6415" width="4.3984375" style="329" customWidth="1"/>
    <col min="6416" max="6416" width="3.5" style="329" customWidth="1"/>
    <col min="6417" max="6417" width="5.09765625" style="329" customWidth="1"/>
    <col min="6418" max="6418" width="3" style="329" customWidth="1"/>
    <col min="6419" max="6419" width="10.3984375" style="329" bestFit="1" customWidth="1"/>
    <col min="6420" max="6657" width="9" style="329"/>
    <col min="6658" max="6658" width="9.3984375" style="329" customWidth="1"/>
    <col min="6659" max="6659" width="3.69921875" style="329" customWidth="1"/>
    <col min="6660" max="6660" width="2.69921875" style="329" customWidth="1"/>
    <col min="6661" max="6661" width="10.59765625" style="329" customWidth="1"/>
    <col min="6662" max="6662" width="6" style="329" customWidth="1"/>
    <col min="6663" max="6663" width="12" style="329" customWidth="1"/>
    <col min="6664" max="6664" width="6.8984375" style="329" customWidth="1"/>
    <col min="6665" max="6665" width="7.3984375" style="329" customWidth="1"/>
    <col min="6666" max="6666" width="2.09765625" style="329" customWidth="1"/>
    <col min="6667" max="6667" width="14.5" style="329" customWidth="1"/>
    <col min="6668" max="6668" width="3" style="329" customWidth="1"/>
    <col min="6669" max="6669" width="5.09765625" style="329" customWidth="1"/>
    <col min="6670" max="6670" width="10" style="329" customWidth="1"/>
    <col min="6671" max="6671" width="4.3984375" style="329" customWidth="1"/>
    <col min="6672" max="6672" width="3.5" style="329" customWidth="1"/>
    <col min="6673" max="6673" width="5.09765625" style="329" customWidth="1"/>
    <col min="6674" max="6674" width="3" style="329" customWidth="1"/>
    <col min="6675" max="6675" width="10.3984375" style="329" bestFit="1" customWidth="1"/>
    <col min="6676" max="6913" width="9" style="329"/>
    <col min="6914" max="6914" width="9.3984375" style="329" customWidth="1"/>
    <col min="6915" max="6915" width="3.69921875" style="329" customWidth="1"/>
    <col min="6916" max="6916" width="2.69921875" style="329" customWidth="1"/>
    <col min="6917" max="6917" width="10.59765625" style="329" customWidth="1"/>
    <col min="6918" max="6918" width="6" style="329" customWidth="1"/>
    <col min="6919" max="6919" width="12" style="329" customWidth="1"/>
    <col min="6920" max="6920" width="6.8984375" style="329" customWidth="1"/>
    <col min="6921" max="6921" width="7.3984375" style="329" customWidth="1"/>
    <col min="6922" max="6922" width="2.09765625" style="329" customWidth="1"/>
    <col min="6923" max="6923" width="14.5" style="329" customWidth="1"/>
    <col min="6924" max="6924" width="3" style="329" customWidth="1"/>
    <col min="6925" max="6925" width="5.09765625" style="329" customWidth="1"/>
    <col min="6926" max="6926" width="10" style="329" customWidth="1"/>
    <col min="6927" max="6927" width="4.3984375" style="329" customWidth="1"/>
    <col min="6928" max="6928" width="3.5" style="329" customWidth="1"/>
    <col min="6929" max="6929" width="5.09765625" style="329" customWidth="1"/>
    <col min="6930" max="6930" width="3" style="329" customWidth="1"/>
    <col min="6931" max="6931" width="10.3984375" style="329" bestFit="1" customWidth="1"/>
    <col min="6932" max="7169" width="9" style="329"/>
    <col min="7170" max="7170" width="9.3984375" style="329" customWidth="1"/>
    <col min="7171" max="7171" width="3.69921875" style="329" customWidth="1"/>
    <col min="7172" max="7172" width="2.69921875" style="329" customWidth="1"/>
    <col min="7173" max="7173" width="10.59765625" style="329" customWidth="1"/>
    <col min="7174" max="7174" width="6" style="329" customWidth="1"/>
    <col min="7175" max="7175" width="12" style="329" customWidth="1"/>
    <col min="7176" max="7176" width="6.8984375" style="329" customWidth="1"/>
    <col min="7177" max="7177" width="7.3984375" style="329" customWidth="1"/>
    <col min="7178" max="7178" width="2.09765625" style="329" customWidth="1"/>
    <col min="7179" max="7179" width="14.5" style="329" customWidth="1"/>
    <col min="7180" max="7180" width="3" style="329" customWidth="1"/>
    <col min="7181" max="7181" width="5.09765625" style="329" customWidth="1"/>
    <col min="7182" max="7182" width="10" style="329" customWidth="1"/>
    <col min="7183" max="7183" width="4.3984375" style="329" customWidth="1"/>
    <col min="7184" max="7184" width="3.5" style="329" customWidth="1"/>
    <col min="7185" max="7185" width="5.09765625" style="329" customWidth="1"/>
    <col min="7186" max="7186" width="3" style="329" customWidth="1"/>
    <col min="7187" max="7187" width="10.3984375" style="329" bestFit="1" customWidth="1"/>
    <col min="7188" max="7425" width="9" style="329"/>
    <col min="7426" max="7426" width="9.3984375" style="329" customWidth="1"/>
    <col min="7427" max="7427" width="3.69921875" style="329" customWidth="1"/>
    <col min="7428" max="7428" width="2.69921875" style="329" customWidth="1"/>
    <col min="7429" max="7429" width="10.59765625" style="329" customWidth="1"/>
    <col min="7430" max="7430" width="6" style="329" customWidth="1"/>
    <col min="7431" max="7431" width="12" style="329" customWidth="1"/>
    <col min="7432" max="7432" width="6.8984375" style="329" customWidth="1"/>
    <col min="7433" max="7433" width="7.3984375" style="329" customWidth="1"/>
    <col min="7434" max="7434" width="2.09765625" style="329" customWidth="1"/>
    <col min="7435" max="7435" width="14.5" style="329" customWidth="1"/>
    <col min="7436" max="7436" width="3" style="329" customWidth="1"/>
    <col min="7437" max="7437" width="5.09765625" style="329" customWidth="1"/>
    <col min="7438" max="7438" width="10" style="329" customWidth="1"/>
    <col min="7439" max="7439" width="4.3984375" style="329" customWidth="1"/>
    <col min="7440" max="7440" width="3.5" style="329" customWidth="1"/>
    <col min="7441" max="7441" width="5.09765625" style="329" customWidth="1"/>
    <col min="7442" max="7442" width="3" style="329" customWidth="1"/>
    <col min="7443" max="7443" width="10.3984375" style="329" bestFit="1" customWidth="1"/>
    <col min="7444" max="7681" width="9" style="329"/>
    <col min="7682" max="7682" width="9.3984375" style="329" customWidth="1"/>
    <col min="7683" max="7683" width="3.69921875" style="329" customWidth="1"/>
    <col min="7684" max="7684" width="2.69921875" style="329" customWidth="1"/>
    <col min="7685" max="7685" width="10.59765625" style="329" customWidth="1"/>
    <col min="7686" max="7686" width="6" style="329" customWidth="1"/>
    <col min="7687" max="7687" width="12" style="329" customWidth="1"/>
    <col min="7688" max="7688" width="6.8984375" style="329" customWidth="1"/>
    <col min="7689" max="7689" width="7.3984375" style="329" customWidth="1"/>
    <col min="7690" max="7690" width="2.09765625" style="329" customWidth="1"/>
    <col min="7691" max="7691" width="14.5" style="329" customWidth="1"/>
    <col min="7692" max="7692" width="3" style="329" customWidth="1"/>
    <col min="7693" max="7693" width="5.09765625" style="329" customWidth="1"/>
    <col min="7694" max="7694" width="10" style="329" customWidth="1"/>
    <col min="7695" max="7695" width="4.3984375" style="329" customWidth="1"/>
    <col min="7696" max="7696" width="3.5" style="329" customWidth="1"/>
    <col min="7697" max="7697" width="5.09765625" style="329" customWidth="1"/>
    <col min="7698" max="7698" width="3" style="329" customWidth="1"/>
    <col min="7699" max="7699" width="10.3984375" style="329" bestFit="1" customWidth="1"/>
    <col min="7700" max="7937" width="9" style="329"/>
    <col min="7938" max="7938" width="9.3984375" style="329" customWidth="1"/>
    <col min="7939" max="7939" width="3.69921875" style="329" customWidth="1"/>
    <col min="7940" max="7940" width="2.69921875" style="329" customWidth="1"/>
    <col min="7941" max="7941" width="10.59765625" style="329" customWidth="1"/>
    <col min="7942" max="7942" width="6" style="329" customWidth="1"/>
    <col min="7943" max="7943" width="12" style="329" customWidth="1"/>
    <col min="7944" max="7944" width="6.8984375" style="329" customWidth="1"/>
    <col min="7945" max="7945" width="7.3984375" style="329" customWidth="1"/>
    <col min="7946" max="7946" width="2.09765625" style="329" customWidth="1"/>
    <col min="7947" max="7947" width="14.5" style="329" customWidth="1"/>
    <col min="7948" max="7948" width="3" style="329" customWidth="1"/>
    <col min="7949" max="7949" width="5.09765625" style="329" customWidth="1"/>
    <col min="7950" max="7950" width="10" style="329" customWidth="1"/>
    <col min="7951" max="7951" width="4.3984375" style="329" customWidth="1"/>
    <col min="7952" max="7952" width="3.5" style="329" customWidth="1"/>
    <col min="7953" max="7953" width="5.09765625" style="329" customWidth="1"/>
    <col min="7954" max="7954" width="3" style="329" customWidth="1"/>
    <col min="7955" max="7955" width="10.3984375" style="329" bestFit="1" customWidth="1"/>
    <col min="7956" max="8193" width="9" style="329"/>
    <col min="8194" max="8194" width="9.3984375" style="329" customWidth="1"/>
    <col min="8195" max="8195" width="3.69921875" style="329" customWidth="1"/>
    <col min="8196" max="8196" width="2.69921875" style="329" customWidth="1"/>
    <col min="8197" max="8197" width="10.59765625" style="329" customWidth="1"/>
    <col min="8198" max="8198" width="6" style="329" customWidth="1"/>
    <col min="8199" max="8199" width="12" style="329" customWidth="1"/>
    <col min="8200" max="8200" width="6.8984375" style="329" customWidth="1"/>
    <col min="8201" max="8201" width="7.3984375" style="329" customWidth="1"/>
    <col min="8202" max="8202" width="2.09765625" style="329" customWidth="1"/>
    <col min="8203" max="8203" width="14.5" style="329" customWidth="1"/>
    <col min="8204" max="8204" width="3" style="329" customWidth="1"/>
    <col min="8205" max="8205" width="5.09765625" style="329" customWidth="1"/>
    <col min="8206" max="8206" width="10" style="329" customWidth="1"/>
    <col min="8207" max="8207" width="4.3984375" style="329" customWidth="1"/>
    <col min="8208" max="8208" width="3.5" style="329" customWidth="1"/>
    <col min="8209" max="8209" width="5.09765625" style="329" customWidth="1"/>
    <col min="8210" max="8210" width="3" style="329" customWidth="1"/>
    <col min="8211" max="8211" width="10.3984375" style="329" bestFit="1" customWidth="1"/>
    <col min="8212" max="8449" width="9" style="329"/>
    <col min="8450" max="8450" width="9.3984375" style="329" customWidth="1"/>
    <col min="8451" max="8451" width="3.69921875" style="329" customWidth="1"/>
    <col min="8452" max="8452" width="2.69921875" style="329" customWidth="1"/>
    <col min="8453" max="8453" width="10.59765625" style="329" customWidth="1"/>
    <col min="8454" max="8454" width="6" style="329" customWidth="1"/>
    <col min="8455" max="8455" width="12" style="329" customWidth="1"/>
    <col min="8456" max="8456" width="6.8984375" style="329" customWidth="1"/>
    <col min="8457" max="8457" width="7.3984375" style="329" customWidth="1"/>
    <col min="8458" max="8458" width="2.09765625" style="329" customWidth="1"/>
    <col min="8459" max="8459" width="14.5" style="329" customWidth="1"/>
    <col min="8460" max="8460" width="3" style="329" customWidth="1"/>
    <col min="8461" max="8461" width="5.09765625" style="329" customWidth="1"/>
    <col min="8462" max="8462" width="10" style="329" customWidth="1"/>
    <col min="8463" max="8463" width="4.3984375" style="329" customWidth="1"/>
    <col min="8464" max="8464" width="3.5" style="329" customWidth="1"/>
    <col min="8465" max="8465" width="5.09765625" style="329" customWidth="1"/>
    <col min="8466" max="8466" width="3" style="329" customWidth="1"/>
    <col min="8467" max="8467" width="10.3984375" style="329" bestFit="1" customWidth="1"/>
    <col min="8468" max="8705" width="9" style="329"/>
    <col min="8706" max="8706" width="9.3984375" style="329" customWidth="1"/>
    <col min="8707" max="8707" width="3.69921875" style="329" customWidth="1"/>
    <col min="8708" max="8708" width="2.69921875" style="329" customWidth="1"/>
    <col min="8709" max="8709" width="10.59765625" style="329" customWidth="1"/>
    <col min="8710" max="8710" width="6" style="329" customWidth="1"/>
    <col min="8711" max="8711" width="12" style="329" customWidth="1"/>
    <col min="8712" max="8712" width="6.8984375" style="329" customWidth="1"/>
    <col min="8713" max="8713" width="7.3984375" style="329" customWidth="1"/>
    <col min="8714" max="8714" width="2.09765625" style="329" customWidth="1"/>
    <col min="8715" max="8715" width="14.5" style="329" customWidth="1"/>
    <col min="8716" max="8716" width="3" style="329" customWidth="1"/>
    <col min="8717" max="8717" width="5.09765625" style="329" customWidth="1"/>
    <col min="8718" max="8718" width="10" style="329" customWidth="1"/>
    <col min="8719" max="8719" width="4.3984375" style="329" customWidth="1"/>
    <col min="8720" max="8720" width="3.5" style="329" customWidth="1"/>
    <col min="8721" max="8721" width="5.09765625" style="329" customWidth="1"/>
    <col min="8722" max="8722" width="3" style="329" customWidth="1"/>
    <col min="8723" max="8723" width="10.3984375" style="329" bestFit="1" customWidth="1"/>
    <col min="8724" max="8961" width="9" style="329"/>
    <col min="8962" max="8962" width="9.3984375" style="329" customWidth="1"/>
    <col min="8963" max="8963" width="3.69921875" style="329" customWidth="1"/>
    <col min="8964" max="8964" width="2.69921875" style="329" customWidth="1"/>
    <col min="8965" max="8965" width="10.59765625" style="329" customWidth="1"/>
    <col min="8966" max="8966" width="6" style="329" customWidth="1"/>
    <col min="8967" max="8967" width="12" style="329" customWidth="1"/>
    <col min="8968" max="8968" width="6.8984375" style="329" customWidth="1"/>
    <col min="8969" max="8969" width="7.3984375" style="329" customWidth="1"/>
    <col min="8970" max="8970" width="2.09765625" style="329" customWidth="1"/>
    <col min="8971" max="8971" width="14.5" style="329" customWidth="1"/>
    <col min="8972" max="8972" width="3" style="329" customWidth="1"/>
    <col min="8973" max="8973" width="5.09765625" style="329" customWidth="1"/>
    <col min="8974" max="8974" width="10" style="329" customWidth="1"/>
    <col min="8975" max="8975" width="4.3984375" style="329" customWidth="1"/>
    <col min="8976" max="8976" width="3.5" style="329" customWidth="1"/>
    <col min="8977" max="8977" width="5.09765625" style="329" customWidth="1"/>
    <col min="8978" max="8978" width="3" style="329" customWidth="1"/>
    <col min="8979" max="8979" width="10.3984375" style="329" bestFit="1" customWidth="1"/>
    <col min="8980" max="9217" width="9" style="329"/>
    <col min="9218" max="9218" width="9.3984375" style="329" customWidth="1"/>
    <col min="9219" max="9219" width="3.69921875" style="329" customWidth="1"/>
    <col min="9220" max="9220" width="2.69921875" style="329" customWidth="1"/>
    <col min="9221" max="9221" width="10.59765625" style="329" customWidth="1"/>
    <col min="9222" max="9222" width="6" style="329" customWidth="1"/>
    <col min="9223" max="9223" width="12" style="329" customWidth="1"/>
    <col min="9224" max="9224" width="6.8984375" style="329" customWidth="1"/>
    <col min="9225" max="9225" width="7.3984375" style="329" customWidth="1"/>
    <col min="9226" max="9226" width="2.09765625" style="329" customWidth="1"/>
    <col min="9227" max="9227" width="14.5" style="329" customWidth="1"/>
    <col min="9228" max="9228" width="3" style="329" customWidth="1"/>
    <col min="9229" max="9229" width="5.09765625" style="329" customWidth="1"/>
    <col min="9230" max="9230" width="10" style="329" customWidth="1"/>
    <col min="9231" max="9231" width="4.3984375" style="329" customWidth="1"/>
    <col min="9232" max="9232" width="3.5" style="329" customWidth="1"/>
    <col min="9233" max="9233" width="5.09765625" style="329" customWidth="1"/>
    <col min="9234" max="9234" width="3" style="329" customWidth="1"/>
    <col min="9235" max="9235" width="10.3984375" style="329" bestFit="1" customWidth="1"/>
    <col min="9236" max="9473" width="9" style="329"/>
    <col min="9474" max="9474" width="9.3984375" style="329" customWidth="1"/>
    <col min="9475" max="9475" width="3.69921875" style="329" customWidth="1"/>
    <col min="9476" max="9476" width="2.69921875" style="329" customWidth="1"/>
    <col min="9477" max="9477" width="10.59765625" style="329" customWidth="1"/>
    <col min="9478" max="9478" width="6" style="329" customWidth="1"/>
    <col min="9479" max="9479" width="12" style="329" customWidth="1"/>
    <col min="9480" max="9480" width="6.8984375" style="329" customWidth="1"/>
    <col min="9481" max="9481" width="7.3984375" style="329" customWidth="1"/>
    <col min="9482" max="9482" width="2.09765625" style="329" customWidth="1"/>
    <col min="9483" max="9483" width="14.5" style="329" customWidth="1"/>
    <col min="9484" max="9484" width="3" style="329" customWidth="1"/>
    <col min="9485" max="9485" width="5.09765625" style="329" customWidth="1"/>
    <col min="9486" max="9486" width="10" style="329" customWidth="1"/>
    <col min="9487" max="9487" width="4.3984375" style="329" customWidth="1"/>
    <col min="9488" max="9488" width="3.5" style="329" customWidth="1"/>
    <col min="9489" max="9489" width="5.09765625" style="329" customWidth="1"/>
    <col min="9490" max="9490" width="3" style="329" customWidth="1"/>
    <col min="9491" max="9491" width="10.3984375" style="329" bestFit="1" customWidth="1"/>
    <col min="9492" max="9729" width="9" style="329"/>
    <col min="9730" max="9730" width="9.3984375" style="329" customWidth="1"/>
    <col min="9731" max="9731" width="3.69921875" style="329" customWidth="1"/>
    <col min="9732" max="9732" width="2.69921875" style="329" customWidth="1"/>
    <col min="9733" max="9733" width="10.59765625" style="329" customWidth="1"/>
    <col min="9734" max="9734" width="6" style="329" customWidth="1"/>
    <col min="9735" max="9735" width="12" style="329" customWidth="1"/>
    <col min="9736" max="9736" width="6.8984375" style="329" customWidth="1"/>
    <col min="9737" max="9737" width="7.3984375" style="329" customWidth="1"/>
    <col min="9738" max="9738" width="2.09765625" style="329" customWidth="1"/>
    <col min="9739" max="9739" width="14.5" style="329" customWidth="1"/>
    <col min="9740" max="9740" width="3" style="329" customWidth="1"/>
    <col min="9741" max="9741" width="5.09765625" style="329" customWidth="1"/>
    <col min="9742" max="9742" width="10" style="329" customWidth="1"/>
    <col min="9743" max="9743" width="4.3984375" style="329" customWidth="1"/>
    <col min="9744" max="9744" width="3.5" style="329" customWidth="1"/>
    <col min="9745" max="9745" width="5.09765625" style="329" customWidth="1"/>
    <col min="9746" max="9746" width="3" style="329" customWidth="1"/>
    <col min="9747" max="9747" width="10.3984375" style="329" bestFit="1" customWidth="1"/>
    <col min="9748" max="9985" width="9" style="329"/>
    <col min="9986" max="9986" width="9.3984375" style="329" customWidth="1"/>
    <col min="9987" max="9987" width="3.69921875" style="329" customWidth="1"/>
    <col min="9988" max="9988" width="2.69921875" style="329" customWidth="1"/>
    <col min="9989" max="9989" width="10.59765625" style="329" customWidth="1"/>
    <col min="9990" max="9990" width="6" style="329" customWidth="1"/>
    <col min="9991" max="9991" width="12" style="329" customWidth="1"/>
    <col min="9992" max="9992" width="6.8984375" style="329" customWidth="1"/>
    <col min="9993" max="9993" width="7.3984375" style="329" customWidth="1"/>
    <col min="9994" max="9994" width="2.09765625" style="329" customWidth="1"/>
    <col min="9995" max="9995" width="14.5" style="329" customWidth="1"/>
    <col min="9996" max="9996" width="3" style="329" customWidth="1"/>
    <col min="9997" max="9997" width="5.09765625" style="329" customWidth="1"/>
    <col min="9998" max="9998" width="10" style="329" customWidth="1"/>
    <col min="9999" max="9999" width="4.3984375" style="329" customWidth="1"/>
    <col min="10000" max="10000" width="3.5" style="329" customWidth="1"/>
    <col min="10001" max="10001" width="5.09765625" style="329" customWidth="1"/>
    <col min="10002" max="10002" width="3" style="329" customWidth="1"/>
    <col min="10003" max="10003" width="10.3984375" style="329" bestFit="1" customWidth="1"/>
    <col min="10004" max="10241" width="9" style="329"/>
    <col min="10242" max="10242" width="9.3984375" style="329" customWidth="1"/>
    <col min="10243" max="10243" width="3.69921875" style="329" customWidth="1"/>
    <col min="10244" max="10244" width="2.69921875" style="329" customWidth="1"/>
    <col min="10245" max="10245" width="10.59765625" style="329" customWidth="1"/>
    <col min="10246" max="10246" width="6" style="329" customWidth="1"/>
    <col min="10247" max="10247" width="12" style="329" customWidth="1"/>
    <col min="10248" max="10248" width="6.8984375" style="329" customWidth="1"/>
    <col min="10249" max="10249" width="7.3984375" style="329" customWidth="1"/>
    <col min="10250" max="10250" width="2.09765625" style="329" customWidth="1"/>
    <col min="10251" max="10251" width="14.5" style="329" customWidth="1"/>
    <col min="10252" max="10252" width="3" style="329" customWidth="1"/>
    <col min="10253" max="10253" width="5.09765625" style="329" customWidth="1"/>
    <col min="10254" max="10254" width="10" style="329" customWidth="1"/>
    <col min="10255" max="10255" width="4.3984375" style="329" customWidth="1"/>
    <col min="10256" max="10256" width="3.5" style="329" customWidth="1"/>
    <col min="10257" max="10257" width="5.09765625" style="329" customWidth="1"/>
    <col min="10258" max="10258" width="3" style="329" customWidth="1"/>
    <col min="10259" max="10259" width="10.3984375" style="329" bestFit="1" customWidth="1"/>
    <col min="10260" max="10497" width="9" style="329"/>
    <col min="10498" max="10498" width="9.3984375" style="329" customWidth="1"/>
    <col min="10499" max="10499" width="3.69921875" style="329" customWidth="1"/>
    <col min="10500" max="10500" width="2.69921875" style="329" customWidth="1"/>
    <col min="10501" max="10501" width="10.59765625" style="329" customWidth="1"/>
    <col min="10502" max="10502" width="6" style="329" customWidth="1"/>
    <col min="10503" max="10503" width="12" style="329" customWidth="1"/>
    <col min="10504" max="10504" width="6.8984375" style="329" customWidth="1"/>
    <col min="10505" max="10505" width="7.3984375" style="329" customWidth="1"/>
    <col min="10506" max="10506" width="2.09765625" style="329" customWidth="1"/>
    <col min="10507" max="10507" width="14.5" style="329" customWidth="1"/>
    <col min="10508" max="10508" width="3" style="329" customWidth="1"/>
    <col min="10509" max="10509" width="5.09765625" style="329" customWidth="1"/>
    <col min="10510" max="10510" width="10" style="329" customWidth="1"/>
    <col min="10511" max="10511" width="4.3984375" style="329" customWidth="1"/>
    <col min="10512" max="10512" width="3.5" style="329" customWidth="1"/>
    <col min="10513" max="10513" width="5.09765625" style="329" customWidth="1"/>
    <col min="10514" max="10514" width="3" style="329" customWidth="1"/>
    <col min="10515" max="10515" width="10.3984375" style="329" bestFit="1" customWidth="1"/>
    <col min="10516" max="10753" width="9" style="329"/>
    <col min="10754" max="10754" width="9.3984375" style="329" customWidth="1"/>
    <col min="10755" max="10755" width="3.69921875" style="329" customWidth="1"/>
    <col min="10756" max="10756" width="2.69921875" style="329" customWidth="1"/>
    <col min="10757" max="10757" width="10.59765625" style="329" customWidth="1"/>
    <col min="10758" max="10758" width="6" style="329" customWidth="1"/>
    <col min="10759" max="10759" width="12" style="329" customWidth="1"/>
    <col min="10760" max="10760" width="6.8984375" style="329" customWidth="1"/>
    <col min="10761" max="10761" width="7.3984375" style="329" customWidth="1"/>
    <col min="10762" max="10762" width="2.09765625" style="329" customWidth="1"/>
    <col min="10763" max="10763" width="14.5" style="329" customWidth="1"/>
    <col min="10764" max="10764" width="3" style="329" customWidth="1"/>
    <col min="10765" max="10765" width="5.09765625" style="329" customWidth="1"/>
    <col min="10766" max="10766" width="10" style="329" customWidth="1"/>
    <col min="10767" max="10767" width="4.3984375" style="329" customWidth="1"/>
    <col min="10768" max="10768" width="3.5" style="329" customWidth="1"/>
    <col min="10769" max="10769" width="5.09765625" style="329" customWidth="1"/>
    <col min="10770" max="10770" width="3" style="329" customWidth="1"/>
    <col min="10771" max="10771" width="10.3984375" style="329" bestFit="1" customWidth="1"/>
    <col min="10772" max="11009" width="9" style="329"/>
    <col min="11010" max="11010" width="9.3984375" style="329" customWidth="1"/>
    <col min="11011" max="11011" width="3.69921875" style="329" customWidth="1"/>
    <col min="11012" max="11012" width="2.69921875" style="329" customWidth="1"/>
    <col min="11013" max="11013" width="10.59765625" style="329" customWidth="1"/>
    <col min="11014" max="11014" width="6" style="329" customWidth="1"/>
    <col min="11015" max="11015" width="12" style="329" customWidth="1"/>
    <col min="11016" max="11016" width="6.8984375" style="329" customWidth="1"/>
    <col min="11017" max="11017" width="7.3984375" style="329" customWidth="1"/>
    <col min="11018" max="11018" width="2.09765625" style="329" customWidth="1"/>
    <col min="11019" max="11019" width="14.5" style="329" customWidth="1"/>
    <col min="11020" max="11020" width="3" style="329" customWidth="1"/>
    <col min="11021" max="11021" width="5.09765625" style="329" customWidth="1"/>
    <col min="11022" max="11022" width="10" style="329" customWidth="1"/>
    <col min="11023" max="11023" width="4.3984375" style="329" customWidth="1"/>
    <col min="11024" max="11024" width="3.5" style="329" customWidth="1"/>
    <col min="11025" max="11025" width="5.09765625" style="329" customWidth="1"/>
    <col min="11026" max="11026" width="3" style="329" customWidth="1"/>
    <col min="11027" max="11027" width="10.3984375" style="329" bestFit="1" customWidth="1"/>
    <col min="11028" max="11265" width="9" style="329"/>
    <col min="11266" max="11266" width="9.3984375" style="329" customWidth="1"/>
    <col min="11267" max="11267" width="3.69921875" style="329" customWidth="1"/>
    <col min="11268" max="11268" width="2.69921875" style="329" customWidth="1"/>
    <col min="11269" max="11269" width="10.59765625" style="329" customWidth="1"/>
    <col min="11270" max="11270" width="6" style="329" customWidth="1"/>
    <col min="11271" max="11271" width="12" style="329" customWidth="1"/>
    <col min="11272" max="11272" width="6.8984375" style="329" customWidth="1"/>
    <col min="11273" max="11273" width="7.3984375" style="329" customWidth="1"/>
    <col min="11274" max="11274" width="2.09765625" style="329" customWidth="1"/>
    <col min="11275" max="11275" width="14.5" style="329" customWidth="1"/>
    <col min="11276" max="11276" width="3" style="329" customWidth="1"/>
    <col min="11277" max="11277" width="5.09765625" style="329" customWidth="1"/>
    <col min="11278" max="11278" width="10" style="329" customWidth="1"/>
    <col min="11279" max="11279" width="4.3984375" style="329" customWidth="1"/>
    <col min="11280" max="11280" width="3.5" style="329" customWidth="1"/>
    <col min="11281" max="11281" width="5.09765625" style="329" customWidth="1"/>
    <col min="11282" max="11282" width="3" style="329" customWidth="1"/>
    <col min="11283" max="11283" width="10.3984375" style="329" bestFit="1" customWidth="1"/>
    <col min="11284" max="11521" width="9" style="329"/>
    <col min="11522" max="11522" width="9.3984375" style="329" customWidth="1"/>
    <col min="11523" max="11523" width="3.69921875" style="329" customWidth="1"/>
    <col min="11524" max="11524" width="2.69921875" style="329" customWidth="1"/>
    <col min="11525" max="11525" width="10.59765625" style="329" customWidth="1"/>
    <col min="11526" max="11526" width="6" style="329" customWidth="1"/>
    <col min="11527" max="11527" width="12" style="329" customWidth="1"/>
    <col min="11528" max="11528" width="6.8984375" style="329" customWidth="1"/>
    <col min="11529" max="11529" width="7.3984375" style="329" customWidth="1"/>
    <col min="11530" max="11530" width="2.09765625" style="329" customWidth="1"/>
    <col min="11531" max="11531" width="14.5" style="329" customWidth="1"/>
    <col min="11532" max="11532" width="3" style="329" customWidth="1"/>
    <col min="11533" max="11533" width="5.09765625" style="329" customWidth="1"/>
    <col min="11534" max="11534" width="10" style="329" customWidth="1"/>
    <col min="11535" max="11535" width="4.3984375" style="329" customWidth="1"/>
    <col min="11536" max="11536" width="3.5" style="329" customWidth="1"/>
    <col min="11537" max="11537" width="5.09765625" style="329" customWidth="1"/>
    <col min="11538" max="11538" width="3" style="329" customWidth="1"/>
    <col min="11539" max="11539" width="10.3984375" style="329" bestFit="1" customWidth="1"/>
    <col min="11540" max="11777" width="9" style="329"/>
    <col min="11778" max="11778" width="9.3984375" style="329" customWidth="1"/>
    <col min="11779" max="11779" width="3.69921875" style="329" customWidth="1"/>
    <col min="11780" max="11780" width="2.69921875" style="329" customWidth="1"/>
    <col min="11781" max="11781" width="10.59765625" style="329" customWidth="1"/>
    <col min="11782" max="11782" width="6" style="329" customWidth="1"/>
    <col min="11783" max="11783" width="12" style="329" customWidth="1"/>
    <col min="11784" max="11784" width="6.8984375" style="329" customWidth="1"/>
    <col min="11785" max="11785" width="7.3984375" style="329" customWidth="1"/>
    <col min="11786" max="11786" width="2.09765625" style="329" customWidth="1"/>
    <col min="11787" max="11787" width="14.5" style="329" customWidth="1"/>
    <col min="11788" max="11788" width="3" style="329" customWidth="1"/>
    <col min="11789" max="11789" width="5.09765625" style="329" customWidth="1"/>
    <col min="11790" max="11790" width="10" style="329" customWidth="1"/>
    <col min="11791" max="11791" width="4.3984375" style="329" customWidth="1"/>
    <col min="11792" max="11792" width="3.5" style="329" customWidth="1"/>
    <col min="11793" max="11793" width="5.09765625" style="329" customWidth="1"/>
    <col min="11794" max="11794" width="3" style="329" customWidth="1"/>
    <col min="11795" max="11795" width="10.3984375" style="329" bestFit="1" customWidth="1"/>
    <col min="11796" max="12033" width="9" style="329"/>
    <col min="12034" max="12034" width="9.3984375" style="329" customWidth="1"/>
    <col min="12035" max="12035" width="3.69921875" style="329" customWidth="1"/>
    <col min="12036" max="12036" width="2.69921875" style="329" customWidth="1"/>
    <col min="12037" max="12037" width="10.59765625" style="329" customWidth="1"/>
    <col min="12038" max="12038" width="6" style="329" customWidth="1"/>
    <col min="12039" max="12039" width="12" style="329" customWidth="1"/>
    <col min="12040" max="12040" width="6.8984375" style="329" customWidth="1"/>
    <col min="12041" max="12041" width="7.3984375" style="329" customWidth="1"/>
    <col min="12042" max="12042" width="2.09765625" style="329" customWidth="1"/>
    <col min="12043" max="12043" width="14.5" style="329" customWidth="1"/>
    <col min="12044" max="12044" width="3" style="329" customWidth="1"/>
    <col min="12045" max="12045" width="5.09765625" style="329" customWidth="1"/>
    <col min="12046" max="12046" width="10" style="329" customWidth="1"/>
    <col min="12047" max="12047" width="4.3984375" style="329" customWidth="1"/>
    <col min="12048" max="12048" width="3.5" style="329" customWidth="1"/>
    <col min="12049" max="12049" width="5.09765625" style="329" customWidth="1"/>
    <col min="12050" max="12050" width="3" style="329" customWidth="1"/>
    <col min="12051" max="12051" width="10.3984375" style="329" bestFit="1" customWidth="1"/>
    <col min="12052" max="12289" width="9" style="329"/>
    <col min="12290" max="12290" width="9.3984375" style="329" customWidth="1"/>
    <col min="12291" max="12291" width="3.69921875" style="329" customWidth="1"/>
    <col min="12292" max="12292" width="2.69921875" style="329" customWidth="1"/>
    <col min="12293" max="12293" width="10.59765625" style="329" customWidth="1"/>
    <col min="12294" max="12294" width="6" style="329" customWidth="1"/>
    <col min="12295" max="12295" width="12" style="329" customWidth="1"/>
    <col min="12296" max="12296" width="6.8984375" style="329" customWidth="1"/>
    <col min="12297" max="12297" width="7.3984375" style="329" customWidth="1"/>
    <col min="12298" max="12298" width="2.09765625" style="329" customWidth="1"/>
    <col min="12299" max="12299" width="14.5" style="329" customWidth="1"/>
    <col min="12300" max="12300" width="3" style="329" customWidth="1"/>
    <col min="12301" max="12301" width="5.09765625" style="329" customWidth="1"/>
    <col min="12302" max="12302" width="10" style="329" customWidth="1"/>
    <col min="12303" max="12303" width="4.3984375" style="329" customWidth="1"/>
    <col min="12304" max="12304" width="3.5" style="329" customWidth="1"/>
    <col min="12305" max="12305" width="5.09765625" style="329" customWidth="1"/>
    <col min="12306" max="12306" width="3" style="329" customWidth="1"/>
    <col min="12307" max="12307" width="10.3984375" style="329" bestFit="1" customWidth="1"/>
    <col min="12308" max="12545" width="9" style="329"/>
    <col min="12546" max="12546" width="9.3984375" style="329" customWidth="1"/>
    <col min="12547" max="12547" width="3.69921875" style="329" customWidth="1"/>
    <col min="12548" max="12548" width="2.69921875" style="329" customWidth="1"/>
    <col min="12549" max="12549" width="10.59765625" style="329" customWidth="1"/>
    <col min="12550" max="12550" width="6" style="329" customWidth="1"/>
    <col min="12551" max="12551" width="12" style="329" customWidth="1"/>
    <col min="12552" max="12552" width="6.8984375" style="329" customWidth="1"/>
    <col min="12553" max="12553" width="7.3984375" style="329" customWidth="1"/>
    <col min="12554" max="12554" width="2.09765625" style="329" customWidth="1"/>
    <col min="12555" max="12555" width="14.5" style="329" customWidth="1"/>
    <col min="12556" max="12556" width="3" style="329" customWidth="1"/>
    <col min="12557" max="12557" width="5.09765625" style="329" customWidth="1"/>
    <col min="12558" max="12558" width="10" style="329" customWidth="1"/>
    <col min="12559" max="12559" width="4.3984375" style="329" customWidth="1"/>
    <col min="12560" max="12560" width="3.5" style="329" customWidth="1"/>
    <col min="12561" max="12561" width="5.09765625" style="329" customWidth="1"/>
    <col min="12562" max="12562" width="3" style="329" customWidth="1"/>
    <col min="12563" max="12563" width="10.3984375" style="329" bestFit="1" customWidth="1"/>
    <col min="12564" max="12801" width="9" style="329"/>
    <col min="12802" max="12802" width="9.3984375" style="329" customWidth="1"/>
    <col min="12803" max="12803" width="3.69921875" style="329" customWidth="1"/>
    <col min="12804" max="12804" width="2.69921875" style="329" customWidth="1"/>
    <col min="12805" max="12805" width="10.59765625" style="329" customWidth="1"/>
    <col min="12806" max="12806" width="6" style="329" customWidth="1"/>
    <col min="12807" max="12807" width="12" style="329" customWidth="1"/>
    <col min="12808" max="12808" width="6.8984375" style="329" customWidth="1"/>
    <col min="12809" max="12809" width="7.3984375" style="329" customWidth="1"/>
    <col min="12810" max="12810" width="2.09765625" style="329" customWidth="1"/>
    <col min="12811" max="12811" width="14.5" style="329" customWidth="1"/>
    <col min="12812" max="12812" width="3" style="329" customWidth="1"/>
    <col min="12813" max="12813" width="5.09765625" style="329" customWidth="1"/>
    <col min="12814" max="12814" width="10" style="329" customWidth="1"/>
    <col min="12815" max="12815" width="4.3984375" style="329" customWidth="1"/>
    <col min="12816" max="12816" width="3.5" style="329" customWidth="1"/>
    <col min="12817" max="12817" width="5.09765625" style="329" customWidth="1"/>
    <col min="12818" max="12818" width="3" style="329" customWidth="1"/>
    <col min="12819" max="12819" width="10.3984375" style="329" bestFit="1" customWidth="1"/>
    <col min="12820" max="13057" width="9" style="329"/>
    <col min="13058" max="13058" width="9.3984375" style="329" customWidth="1"/>
    <col min="13059" max="13059" width="3.69921875" style="329" customWidth="1"/>
    <col min="13060" max="13060" width="2.69921875" style="329" customWidth="1"/>
    <col min="13061" max="13061" width="10.59765625" style="329" customWidth="1"/>
    <col min="13062" max="13062" width="6" style="329" customWidth="1"/>
    <col min="13063" max="13063" width="12" style="329" customWidth="1"/>
    <col min="13064" max="13064" width="6.8984375" style="329" customWidth="1"/>
    <col min="13065" max="13065" width="7.3984375" style="329" customWidth="1"/>
    <col min="13066" max="13066" width="2.09765625" style="329" customWidth="1"/>
    <col min="13067" max="13067" width="14.5" style="329" customWidth="1"/>
    <col min="13068" max="13068" width="3" style="329" customWidth="1"/>
    <col min="13069" max="13069" width="5.09765625" style="329" customWidth="1"/>
    <col min="13070" max="13070" width="10" style="329" customWidth="1"/>
    <col min="13071" max="13071" width="4.3984375" style="329" customWidth="1"/>
    <col min="13072" max="13072" width="3.5" style="329" customWidth="1"/>
    <col min="13073" max="13073" width="5.09765625" style="329" customWidth="1"/>
    <col min="13074" max="13074" width="3" style="329" customWidth="1"/>
    <col min="13075" max="13075" width="10.3984375" style="329" bestFit="1" customWidth="1"/>
    <col min="13076" max="13313" width="9" style="329"/>
    <col min="13314" max="13314" width="9.3984375" style="329" customWidth="1"/>
    <col min="13315" max="13315" width="3.69921875" style="329" customWidth="1"/>
    <col min="13316" max="13316" width="2.69921875" style="329" customWidth="1"/>
    <col min="13317" max="13317" width="10.59765625" style="329" customWidth="1"/>
    <col min="13318" max="13318" width="6" style="329" customWidth="1"/>
    <col min="13319" max="13319" width="12" style="329" customWidth="1"/>
    <col min="13320" max="13320" width="6.8984375" style="329" customWidth="1"/>
    <col min="13321" max="13321" width="7.3984375" style="329" customWidth="1"/>
    <col min="13322" max="13322" width="2.09765625" style="329" customWidth="1"/>
    <col min="13323" max="13323" width="14.5" style="329" customWidth="1"/>
    <col min="13324" max="13324" width="3" style="329" customWidth="1"/>
    <col min="13325" max="13325" width="5.09765625" style="329" customWidth="1"/>
    <col min="13326" max="13326" width="10" style="329" customWidth="1"/>
    <col min="13327" max="13327" width="4.3984375" style="329" customWidth="1"/>
    <col min="13328" max="13328" width="3.5" style="329" customWidth="1"/>
    <col min="13329" max="13329" width="5.09765625" style="329" customWidth="1"/>
    <col min="13330" max="13330" width="3" style="329" customWidth="1"/>
    <col min="13331" max="13331" width="10.3984375" style="329" bestFit="1" customWidth="1"/>
    <col min="13332" max="13569" width="9" style="329"/>
    <col min="13570" max="13570" width="9.3984375" style="329" customWidth="1"/>
    <col min="13571" max="13571" width="3.69921875" style="329" customWidth="1"/>
    <col min="13572" max="13572" width="2.69921875" style="329" customWidth="1"/>
    <col min="13573" max="13573" width="10.59765625" style="329" customWidth="1"/>
    <col min="13574" max="13574" width="6" style="329" customWidth="1"/>
    <col min="13575" max="13575" width="12" style="329" customWidth="1"/>
    <col min="13576" max="13576" width="6.8984375" style="329" customWidth="1"/>
    <col min="13577" max="13577" width="7.3984375" style="329" customWidth="1"/>
    <col min="13578" max="13578" width="2.09765625" style="329" customWidth="1"/>
    <col min="13579" max="13579" width="14.5" style="329" customWidth="1"/>
    <col min="13580" max="13580" width="3" style="329" customWidth="1"/>
    <col min="13581" max="13581" width="5.09765625" style="329" customWidth="1"/>
    <col min="13582" max="13582" width="10" style="329" customWidth="1"/>
    <col min="13583" max="13583" width="4.3984375" style="329" customWidth="1"/>
    <col min="13584" max="13584" width="3.5" style="329" customWidth="1"/>
    <col min="13585" max="13585" width="5.09765625" style="329" customWidth="1"/>
    <col min="13586" max="13586" width="3" style="329" customWidth="1"/>
    <col min="13587" max="13587" width="10.3984375" style="329" bestFit="1" customWidth="1"/>
    <col min="13588" max="13825" width="9" style="329"/>
    <col min="13826" max="13826" width="9.3984375" style="329" customWidth="1"/>
    <col min="13827" max="13827" width="3.69921875" style="329" customWidth="1"/>
    <col min="13828" max="13828" width="2.69921875" style="329" customWidth="1"/>
    <col min="13829" max="13829" width="10.59765625" style="329" customWidth="1"/>
    <col min="13830" max="13830" width="6" style="329" customWidth="1"/>
    <col min="13831" max="13831" width="12" style="329" customWidth="1"/>
    <col min="13832" max="13832" width="6.8984375" style="329" customWidth="1"/>
    <col min="13833" max="13833" width="7.3984375" style="329" customWidth="1"/>
    <col min="13834" max="13834" width="2.09765625" style="329" customWidth="1"/>
    <col min="13835" max="13835" width="14.5" style="329" customWidth="1"/>
    <col min="13836" max="13836" width="3" style="329" customWidth="1"/>
    <col min="13837" max="13837" width="5.09765625" style="329" customWidth="1"/>
    <col min="13838" max="13838" width="10" style="329" customWidth="1"/>
    <col min="13839" max="13839" width="4.3984375" style="329" customWidth="1"/>
    <col min="13840" max="13840" width="3.5" style="329" customWidth="1"/>
    <col min="13841" max="13841" width="5.09765625" style="329" customWidth="1"/>
    <col min="13842" max="13842" width="3" style="329" customWidth="1"/>
    <col min="13843" max="13843" width="10.3984375" style="329" bestFit="1" customWidth="1"/>
    <col min="13844" max="14081" width="9" style="329"/>
    <col min="14082" max="14082" width="9.3984375" style="329" customWidth="1"/>
    <col min="14083" max="14083" width="3.69921875" style="329" customWidth="1"/>
    <col min="14084" max="14084" width="2.69921875" style="329" customWidth="1"/>
    <col min="14085" max="14085" width="10.59765625" style="329" customWidth="1"/>
    <col min="14086" max="14086" width="6" style="329" customWidth="1"/>
    <col min="14087" max="14087" width="12" style="329" customWidth="1"/>
    <col min="14088" max="14088" width="6.8984375" style="329" customWidth="1"/>
    <col min="14089" max="14089" width="7.3984375" style="329" customWidth="1"/>
    <col min="14090" max="14090" width="2.09765625" style="329" customWidth="1"/>
    <col min="14091" max="14091" width="14.5" style="329" customWidth="1"/>
    <col min="14092" max="14092" width="3" style="329" customWidth="1"/>
    <col min="14093" max="14093" width="5.09765625" style="329" customWidth="1"/>
    <col min="14094" max="14094" width="10" style="329" customWidth="1"/>
    <col min="14095" max="14095" width="4.3984375" style="329" customWidth="1"/>
    <col min="14096" max="14096" width="3.5" style="329" customWidth="1"/>
    <col min="14097" max="14097" width="5.09765625" style="329" customWidth="1"/>
    <col min="14098" max="14098" width="3" style="329" customWidth="1"/>
    <col min="14099" max="14099" width="10.3984375" style="329" bestFit="1" customWidth="1"/>
    <col min="14100" max="14337" width="9" style="329"/>
    <col min="14338" max="14338" width="9.3984375" style="329" customWidth="1"/>
    <col min="14339" max="14339" width="3.69921875" style="329" customWidth="1"/>
    <col min="14340" max="14340" width="2.69921875" style="329" customWidth="1"/>
    <col min="14341" max="14341" width="10.59765625" style="329" customWidth="1"/>
    <col min="14342" max="14342" width="6" style="329" customWidth="1"/>
    <col min="14343" max="14343" width="12" style="329" customWidth="1"/>
    <col min="14344" max="14344" width="6.8984375" style="329" customWidth="1"/>
    <col min="14345" max="14345" width="7.3984375" style="329" customWidth="1"/>
    <col min="14346" max="14346" width="2.09765625" style="329" customWidth="1"/>
    <col min="14347" max="14347" width="14.5" style="329" customWidth="1"/>
    <col min="14348" max="14348" width="3" style="329" customWidth="1"/>
    <col min="14349" max="14349" width="5.09765625" style="329" customWidth="1"/>
    <col min="14350" max="14350" width="10" style="329" customWidth="1"/>
    <col min="14351" max="14351" width="4.3984375" style="329" customWidth="1"/>
    <col min="14352" max="14352" width="3.5" style="329" customWidth="1"/>
    <col min="14353" max="14353" width="5.09765625" style="329" customWidth="1"/>
    <col min="14354" max="14354" width="3" style="329" customWidth="1"/>
    <col min="14355" max="14355" width="10.3984375" style="329" bestFit="1" customWidth="1"/>
    <col min="14356" max="14593" width="9" style="329"/>
    <col min="14594" max="14594" width="9.3984375" style="329" customWidth="1"/>
    <col min="14595" max="14595" width="3.69921875" style="329" customWidth="1"/>
    <col min="14596" max="14596" width="2.69921875" style="329" customWidth="1"/>
    <col min="14597" max="14597" width="10.59765625" style="329" customWidth="1"/>
    <col min="14598" max="14598" width="6" style="329" customWidth="1"/>
    <col min="14599" max="14599" width="12" style="329" customWidth="1"/>
    <col min="14600" max="14600" width="6.8984375" style="329" customWidth="1"/>
    <col min="14601" max="14601" width="7.3984375" style="329" customWidth="1"/>
    <col min="14602" max="14602" width="2.09765625" style="329" customWidth="1"/>
    <col min="14603" max="14603" width="14.5" style="329" customWidth="1"/>
    <col min="14604" max="14604" width="3" style="329" customWidth="1"/>
    <col min="14605" max="14605" width="5.09765625" style="329" customWidth="1"/>
    <col min="14606" max="14606" width="10" style="329" customWidth="1"/>
    <col min="14607" max="14607" width="4.3984375" style="329" customWidth="1"/>
    <col min="14608" max="14608" width="3.5" style="329" customWidth="1"/>
    <col min="14609" max="14609" width="5.09765625" style="329" customWidth="1"/>
    <col min="14610" max="14610" width="3" style="329" customWidth="1"/>
    <col min="14611" max="14611" width="10.3984375" style="329" bestFit="1" customWidth="1"/>
    <col min="14612" max="14849" width="9" style="329"/>
    <col min="14850" max="14850" width="9.3984375" style="329" customWidth="1"/>
    <col min="14851" max="14851" width="3.69921875" style="329" customWidth="1"/>
    <col min="14852" max="14852" width="2.69921875" style="329" customWidth="1"/>
    <col min="14853" max="14853" width="10.59765625" style="329" customWidth="1"/>
    <col min="14854" max="14854" width="6" style="329" customWidth="1"/>
    <col min="14855" max="14855" width="12" style="329" customWidth="1"/>
    <col min="14856" max="14856" width="6.8984375" style="329" customWidth="1"/>
    <col min="14857" max="14857" width="7.3984375" style="329" customWidth="1"/>
    <col min="14858" max="14858" width="2.09765625" style="329" customWidth="1"/>
    <col min="14859" max="14859" width="14.5" style="329" customWidth="1"/>
    <col min="14860" max="14860" width="3" style="329" customWidth="1"/>
    <col min="14861" max="14861" width="5.09765625" style="329" customWidth="1"/>
    <col min="14862" max="14862" width="10" style="329" customWidth="1"/>
    <col min="14863" max="14863" width="4.3984375" style="329" customWidth="1"/>
    <col min="14864" max="14864" width="3.5" style="329" customWidth="1"/>
    <col min="14865" max="14865" width="5.09765625" style="329" customWidth="1"/>
    <col min="14866" max="14866" width="3" style="329" customWidth="1"/>
    <col min="14867" max="14867" width="10.3984375" style="329" bestFit="1" customWidth="1"/>
    <col min="14868" max="15105" width="9" style="329"/>
    <col min="15106" max="15106" width="9.3984375" style="329" customWidth="1"/>
    <col min="15107" max="15107" width="3.69921875" style="329" customWidth="1"/>
    <col min="15108" max="15108" width="2.69921875" style="329" customWidth="1"/>
    <col min="15109" max="15109" width="10.59765625" style="329" customWidth="1"/>
    <col min="15110" max="15110" width="6" style="329" customWidth="1"/>
    <col min="15111" max="15111" width="12" style="329" customWidth="1"/>
    <col min="15112" max="15112" width="6.8984375" style="329" customWidth="1"/>
    <col min="15113" max="15113" width="7.3984375" style="329" customWidth="1"/>
    <col min="15114" max="15114" width="2.09765625" style="329" customWidth="1"/>
    <col min="15115" max="15115" width="14.5" style="329" customWidth="1"/>
    <col min="15116" max="15116" width="3" style="329" customWidth="1"/>
    <col min="15117" max="15117" width="5.09765625" style="329" customWidth="1"/>
    <col min="15118" max="15118" width="10" style="329" customWidth="1"/>
    <col min="15119" max="15119" width="4.3984375" style="329" customWidth="1"/>
    <col min="15120" max="15120" width="3.5" style="329" customWidth="1"/>
    <col min="15121" max="15121" width="5.09765625" style="329" customWidth="1"/>
    <col min="15122" max="15122" width="3" style="329" customWidth="1"/>
    <col min="15123" max="15123" width="10.3984375" style="329" bestFit="1" customWidth="1"/>
    <col min="15124" max="15361" width="9" style="329"/>
    <col min="15362" max="15362" width="9.3984375" style="329" customWidth="1"/>
    <col min="15363" max="15363" width="3.69921875" style="329" customWidth="1"/>
    <col min="15364" max="15364" width="2.69921875" style="329" customWidth="1"/>
    <col min="15365" max="15365" width="10.59765625" style="329" customWidth="1"/>
    <col min="15366" max="15366" width="6" style="329" customWidth="1"/>
    <col min="15367" max="15367" width="12" style="329" customWidth="1"/>
    <col min="15368" max="15368" width="6.8984375" style="329" customWidth="1"/>
    <col min="15369" max="15369" width="7.3984375" style="329" customWidth="1"/>
    <col min="15370" max="15370" width="2.09765625" style="329" customWidth="1"/>
    <col min="15371" max="15371" width="14.5" style="329" customWidth="1"/>
    <col min="15372" max="15372" width="3" style="329" customWidth="1"/>
    <col min="15373" max="15373" width="5.09765625" style="329" customWidth="1"/>
    <col min="15374" max="15374" width="10" style="329" customWidth="1"/>
    <col min="15375" max="15375" width="4.3984375" style="329" customWidth="1"/>
    <col min="15376" max="15376" width="3.5" style="329" customWidth="1"/>
    <col min="15377" max="15377" width="5.09765625" style="329" customWidth="1"/>
    <col min="15378" max="15378" width="3" style="329" customWidth="1"/>
    <col min="15379" max="15379" width="10.3984375" style="329" bestFit="1" customWidth="1"/>
    <col min="15380" max="15617" width="9" style="329"/>
    <col min="15618" max="15618" width="9.3984375" style="329" customWidth="1"/>
    <col min="15619" max="15619" width="3.69921875" style="329" customWidth="1"/>
    <col min="15620" max="15620" width="2.69921875" style="329" customWidth="1"/>
    <col min="15621" max="15621" width="10.59765625" style="329" customWidth="1"/>
    <col min="15622" max="15622" width="6" style="329" customWidth="1"/>
    <col min="15623" max="15623" width="12" style="329" customWidth="1"/>
    <col min="15624" max="15624" width="6.8984375" style="329" customWidth="1"/>
    <col min="15625" max="15625" width="7.3984375" style="329" customWidth="1"/>
    <col min="15626" max="15626" width="2.09765625" style="329" customWidth="1"/>
    <col min="15627" max="15627" width="14.5" style="329" customWidth="1"/>
    <col min="15628" max="15628" width="3" style="329" customWidth="1"/>
    <col min="15629" max="15629" width="5.09765625" style="329" customWidth="1"/>
    <col min="15630" max="15630" width="10" style="329" customWidth="1"/>
    <col min="15631" max="15631" width="4.3984375" style="329" customWidth="1"/>
    <col min="15632" max="15632" width="3.5" style="329" customWidth="1"/>
    <col min="15633" max="15633" width="5.09765625" style="329" customWidth="1"/>
    <col min="15634" max="15634" width="3" style="329" customWidth="1"/>
    <col min="15635" max="15635" width="10.3984375" style="329" bestFit="1" customWidth="1"/>
    <col min="15636" max="15873" width="9" style="329"/>
    <col min="15874" max="15874" width="9.3984375" style="329" customWidth="1"/>
    <col min="15875" max="15875" width="3.69921875" style="329" customWidth="1"/>
    <col min="15876" max="15876" width="2.69921875" style="329" customWidth="1"/>
    <col min="15877" max="15877" width="10.59765625" style="329" customWidth="1"/>
    <col min="15878" max="15878" width="6" style="329" customWidth="1"/>
    <col min="15879" max="15879" width="12" style="329" customWidth="1"/>
    <col min="15880" max="15880" width="6.8984375" style="329" customWidth="1"/>
    <col min="15881" max="15881" width="7.3984375" style="329" customWidth="1"/>
    <col min="15882" max="15882" width="2.09765625" style="329" customWidth="1"/>
    <col min="15883" max="15883" width="14.5" style="329" customWidth="1"/>
    <col min="15884" max="15884" width="3" style="329" customWidth="1"/>
    <col min="15885" max="15885" width="5.09765625" style="329" customWidth="1"/>
    <col min="15886" max="15886" width="10" style="329" customWidth="1"/>
    <col min="15887" max="15887" width="4.3984375" style="329" customWidth="1"/>
    <col min="15888" max="15888" width="3.5" style="329" customWidth="1"/>
    <col min="15889" max="15889" width="5.09765625" style="329" customWidth="1"/>
    <col min="15890" max="15890" width="3" style="329" customWidth="1"/>
    <col min="15891" max="15891" width="10.3984375" style="329" bestFit="1" customWidth="1"/>
    <col min="15892" max="16129" width="9" style="329"/>
    <col min="16130" max="16130" width="9.3984375" style="329" customWidth="1"/>
    <col min="16131" max="16131" width="3.69921875" style="329" customWidth="1"/>
    <col min="16132" max="16132" width="2.69921875" style="329" customWidth="1"/>
    <col min="16133" max="16133" width="10.59765625" style="329" customWidth="1"/>
    <col min="16134" max="16134" width="6" style="329" customWidth="1"/>
    <col min="16135" max="16135" width="12" style="329" customWidth="1"/>
    <col min="16136" max="16136" width="6.8984375" style="329" customWidth="1"/>
    <col min="16137" max="16137" width="7.3984375" style="329" customWidth="1"/>
    <col min="16138" max="16138" width="2.09765625" style="329" customWidth="1"/>
    <col min="16139" max="16139" width="14.5" style="329" customWidth="1"/>
    <col min="16140" max="16140" width="3" style="329" customWidth="1"/>
    <col min="16141" max="16141" width="5.09765625" style="329" customWidth="1"/>
    <col min="16142" max="16142" width="10" style="329" customWidth="1"/>
    <col min="16143" max="16143" width="4.3984375" style="329" customWidth="1"/>
    <col min="16144" max="16144" width="3.5" style="329" customWidth="1"/>
    <col min="16145" max="16145" width="5.09765625" style="329" customWidth="1"/>
    <col min="16146" max="16146" width="3" style="329" customWidth="1"/>
    <col min="16147" max="16147" width="10.3984375" style="329" bestFit="1" customWidth="1"/>
    <col min="16148" max="16384" width="9" style="329"/>
  </cols>
  <sheetData>
    <row r="1" spans="1:26" s="323" customFormat="1" ht="11.25" customHeight="1" x14ac:dyDescent="0.3">
      <c r="D1" s="67"/>
    </row>
    <row r="2" spans="1:26" ht="21" customHeight="1" x14ac:dyDescent="0.35">
      <c r="B2" s="554" t="s">
        <v>107</v>
      </c>
      <c r="C2" s="328"/>
      <c r="D2" s="328"/>
      <c r="Q2" s="323"/>
    </row>
    <row r="3" spans="1:26" s="332" customFormat="1" ht="12.75" customHeight="1" x14ac:dyDescent="0.3">
      <c r="A3" s="545"/>
      <c r="B3" s="330" t="s">
        <v>108</v>
      </c>
      <c r="C3" s="330"/>
      <c r="D3" s="330"/>
      <c r="E3" s="331"/>
      <c r="F3" s="331"/>
      <c r="G3" s="331"/>
      <c r="H3" s="331"/>
      <c r="I3" s="331"/>
      <c r="J3" s="331"/>
      <c r="K3" s="331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</row>
    <row r="4" spans="1:26" ht="21" customHeight="1" thickBot="1" x14ac:dyDescent="0.4">
      <c r="B4" s="328" t="s">
        <v>109</v>
      </c>
      <c r="C4" s="328"/>
      <c r="D4" s="328"/>
      <c r="E4" s="331"/>
      <c r="F4" s="331"/>
      <c r="G4" s="331"/>
      <c r="H4" s="331"/>
      <c r="I4" s="331"/>
      <c r="J4" s="331"/>
      <c r="K4" s="333" t="s">
        <v>110</v>
      </c>
      <c r="L4" s="2228">
        <f>K21</f>
        <v>16105.100000000006</v>
      </c>
      <c r="M4" s="2228"/>
      <c r="N4" s="2228"/>
    </row>
    <row r="5" spans="1:26" ht="21" thickBot="1" x14ac:dyDescent="0.4">
      <c r="B5" s="334" t="s">
        <v>111</v>
      </c>
      <c r="C5" s="335"/>
      <c r="D5" s="335"/>
      <c r="K5" s="538">
        <v>10000</v>
      </c>
    </row>
    <row r="6" spans="1:26" ht="3.75" customHeight="1" thickBot="1" x14ac:dyDescent="0.4">
      <c r="B6" s="336"/>
      <c r="K6" s="337"/>
    </row>
    <row r="7" spans="1:26" ht="21" thickBot="1" x14ac:dyDescent="0.4">
      <c r="B7" s="338" t="s">
        <v>112</v>
      </c>
      <c r="C7" s="339"/>
      <c r="D7" s="339"/>
      <c r="K7" s="539">
        <v>10</v>
      </c>
      <c r="L7" s="339" t="s">
        <v>113</v>
      </c>
      <c r="M7" s="339"/>
    </row>
    <row r="8" spans="1:26" ht="5.25" customHeight="1" thickBot="1" x14ac:dyDescent="0.4">
      <c r="B8" s="336"/>
      <c r="K8" s="337"/>
      <c r="P8" s="555"/>
    </row>
    <row r="9" spans="1:26" ht="21.75" customHeight="1" thickBot="1" x14ac:dyDescent="0.4">
      <c r="B9" s="341" t="s">
        <v>114</v>
      </c>
      <c r="C9" s="342"/>
      <c r="D9" s="342"/>
      <c r="E9" s="343"/>
      <c r="F9" s="343"/>
      <c r="G9" s="343"/>
      <c r="K9" s="540">
        <v>5</v>
      </c>
      <c r="L9" s="344" t="s">
        <v>50</v>
      </c>
      <c r="M9" s="344"/>
    </row>
    <row r="10" spans="1:26" s="346" customFormat="1" ht="9.75" customHeight="1" thickBot="1" x14ac:dyDescent="0.35">
      <c r="A10" s="546"/>
      <c r="B10" s="345"/>
      <c r="C10" s="345"/>
      <c r="D10" s="345"/>
      <c r="E10" s="345"/>
      <c r="F10" s="345"/>
      <c r="G10" s="345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</row>
    <row r="11" spans="1:26" ht="15" customHeight="1" x14ac:dyDescent="0.35">
      <c r="B11" s="347" t="s">
        <v>115</v>
      </c>
      <c r="C11" s="348"/>
      <c r="D11" s="349"/>
      <c r="E11" s="350"/>
      <c r="F11" s="343"/>
      <c r="G11" s="351" t="s">
        <v>117</v>
      </c>
      <c r="H11" s="351"/>
      <c r="I11" s="351"/>
      <c r="J11" s="343"/>
      <c r="K11" s="352" t="s">
        <v>119</v>
      </c>
      <c r="L11" s="353">
        <f>K7</f>
        <v>10</v>
      </c>
      <c r="M11" s="352" t="s">
        <v>120</v>
      </c>
      <c r="N11" s="343"/>
      <c r="O11" s="324"/>
      <c r="P11" s="324"/>
      <c r="Q11" s="324"/>
      <c r="R11" s="548"/>
    </row>
    <row r="12" spans="1:26" ht="15" customHeight="1" x14ac:dyDescent="0.35">
      <c r="B12" s="355" t="s">
        <v>171</v>
      </c>
      <c r="C12" s="356"/>
      <c r="D12" s="356"/>
      <c r="E12" s="357"/>
      <c r="F12" s="343"/>
      <c r="G12" s="343"/>
      <c r="M12" s="358"/>
      <c r="P12" s="556"/>
      <c r="Q12" s="324"/>
      <c r="R12" s="548"/>
    </row>
    <row r="13" spans="1:26" ht="15.75" customHeight="1" x14ac:dyDescent="0.35">
      <c r="B13" s="359" t="s">
        <v>121</v>
      </c>
      <c r="C13" s="360"/>
      <c r="D13" s="360"/>
      <c r="E13" s="357"/>
      <c r="F13" s="343"/>
      <c r="G13" s="343"/>
      <c r="H13" s="361" t="s">
        <v>122</v>
      </c>
      <c r="I13" s="361"/>
      <c r="J13" s="361"/>
      <c r="K13" s="362">
        <f>K7/100</f>
        <v>0.1</v>
      </c>
      <c r="L13" s="343"/>
      <c r="M13" s="343"/>
      <c r="N13" s="343"/>
      <c r="O13" s="324"/>
      <c r="P13" s="324"/>
      <c r="Q13" s="324"/>
      <c r="R13" s="324"/>
    </row>
    <row r="14" spans="1:26" ht="15" customHeight="1" x14ac:dyDescent="0.35">
      <c r="B14" s="363" t="s">
        <v>123</v>
      </c>
      <c r="C14" s="360"/>
      <c r="D14" s="360"/>
      <c r="E14" s="357"/>
      <c r="F14" s="343"/>
      <c r="G14" s="343"/>
      <c r="H14" s="364" t="s">
        <v>177</v>
      </c>
      <c r="I14" s="365"/>
      <c r="J14" s="365"/>
      <c r="K14" s="366">
        <f>K5</f>
        <v>10000</v>
      </c>
      <c r="L14" s="354"/>
      <c r="M14" s="354"/>
      <c r="N14" s="354"/>
      <c r="O14" s="548"/>
      <c r="P14" s="548"/>
      <c r="Q14" s="324"/>
      <c r="R14" s="548"/>
    </row>
    <row r="15" spans="1:26" ht="16.5" customHeight="1" x14ac:dyDescent="0.35">
      <c r="B15" s="367" t="s">
        <v>125</v>
      </c>
      <c r="C15" s="360"/>
      <c r="D15" s="360"/>
      <c r="E15" s="357"/>
      <c r="F15" s="343"/>
      <c r="G15" s="343"/>
      <c r="H15" s="368" t="s">
        <v>178</v>
      </c>
      <c r="I15" s="369"/>
      <c r="J15" s="369"/>
      <c r="K15" s="370">
        <f>K9</f>
        <v>5</v>
      </c>
      <c r="L15" s="354"/>
      <c r="M15" s="354"/>
      <c r="N15" s="354"/>
      <c r="O15" s="548"/>
      <c r="P15" s="548"/>
      <c r="Q15" s="324"/>
      <c r="R15" s="548"/>
    </row>
    <row r="16" spans="1:26" ht="18" thickBot="1" x14ac:dyDescent="0.35">
      <c r="B16" s="371" t="s">
        <v>126</v>
      </c>
      <c r="C16" s="372"/>
      <c r="D16" s="372"/>
      <c r="E16" s="373"/>
    </row>
    <row r="17" spans="1:26" s="343" customFormat="1" ht="18.75" customHeight="1" x14ac:dyDescent="0.3">
      <c r="A17" s="324"/>
      <c r="G17" s="351" t="s">
        <v>127</v>
      </c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</row>
    <row r="18" spans="1:26" ht="18.75" customHeight="1" x14ac:dyDescent="0.3">
      <c r="B18" s="374" t="s">
        <v>173</v>
      </c>
      <c r="D18" s="375" t="s">
        <v>101</v>
      </c>
      <c r="E18" s="376"/>
      <c r="F18" s="377"/>
      <c r="G18" s="377"/>
      <c r="H18" s="378">
        <f>K9</f>
        <v>5</v>
      </c>
      <c r="I18" s="379"/>
      <c r="K18" s="375" t="s">
        <v>16</v>
      </c>
      <c r="L18" s="377"/>
      <c r="M18" s="377"/>
      <c r="N18" s="418">
        <f>K9</f>
        <v>5</v>
      </c>
      <c r="Q18" s="323"/>
    </row>
    <row r="19" spans="1:26" ht="15.75" customHeight="1" x14ac:dyDescent="0.3">
      <c r="B19" s="380" t="s">
        <v>172</v>
      </c>
      <c r="C19" s="381"/>
      <c r="D19" s="382" t="s">
        <v>128</v>
      </c>
      <c r="E19" s="383">
        <f>K5</f>
        <v>10000</v>
      </c>
      <c r="F19" s="384" t="s">
        <v>129</v>
      </c>
      <c r="G19" s="385">
        <f>K7/100</f>
        <v>0.1</v>
      </c>
      <c r="H19" s="386" t="s">
        <v>130</v>
      </c>
      <c r="I19" s="387"/>
      <c r="K19" s="388">
        <f>K5</f>
        <v>10000</v>
      </c>
      <c r="L19" s="384" t="s">
        <v>131</v>
      </c>
      <c r="M19" s="389">
        <f>K7/100+1</f>
        <v>1.1000000000000001</v>
      </c>
      <c r="N19" s="390" t="s">
        <v>132</v>
      </c>
      <c r="Q19" s="323"/>
      <c r="T19" s="557"/>
    </row>
    <row r="20" spans="1:26" ht="8.25" customHeight="1" x14ac:dyDescent="0.3">
      <c r="Q20" s="323"/>
    </row>
    <row r="21" spans="1:26" ht="15.75" customHeight="1" x14ac:dyDescent="0.3">
      <c r="D21" s="391" t="s">
        <v>106</v>
      </c>
      <c r="E21" s="392">
        <f>K5</f>
        <v>10000</v>
      </c>
      <c r="F21" s="393" t="s">
        <v>22</v>
      </c>
      <c r="G21" s="394">
        <f>(1+K7/100)^ K9</f>
        <v>1.6105100000000006</v>
      </c>
      <c r="H21" s="395" t="s">
        <v>3</v>
      </c>
      <c r="I21" s="393"/>
      <c r="J21" s="396">
        <f>(1+K7/100)^K9</f>
        <v>1.6105100000000006</v>
      </c>
      <c r="K21" s="397">
        <f>K5*(1+K7/100)^K9</f>
        <v>16105.100000000006</v>
      </c>
      <c r="L21" s="395"/>
      <c r="M21" s="398"/>
      <c r="P21" s="67"/>
      <c r="Q21" s="323"/>
    </row>
    <row r="22" spans="1:26" x14ac:dyDescent="0.3">
      <c r="Q22" s="323"/>
    </row>
    <row r="23" spans="1:26" s="323" customFormat="1" ht="41.25" customHeight="1" x14ac:dyDescent="0.3"/>
    <row r="24" spans="1:26" ht="21.75" customHeight="1" x14ac:dyDescent="0.35">
      <c r="B24" s="554" t="s">
        <v>107</v>
      </c>
      <c r="C24" s="328"/>
      <c r="D24" s="328"/>
      <c r="Q24" s="323"/>
    </row>
    <row r="25" spans="1:26" x14ac:dyDescent="0.3">
      <c r="B25" s="330" t="s">
        <v>108</v>
      </c>
      <c r="C25" s="330"/>
      <c r="D25" s="330"/>
      <c r="E25" s="331"/>
      <c r="F25" s="331"/>
      <c r="G25" s="331"/>
      <c r="H25" s="331"/>
      <c r="I25" s="331"/>
      <c r="J25" s="331"/>
      <c r="K25" s="331"/>
      <c r="L25" s="332"/>
      <c r="M25" s="332"/>
      <c r="N25" s="332"/>
      <c r="O25" s="545"/>
      <c r="P25" s="545"/>
      <c r="Q25" s="545"/>
      <c r="R25" s="545"/>
      <c r="S25" s="545"/>
    </row>
    <row r="26" spans="1:26" ht="18" customHeight="1" thickBot="1" x14ac:dyDescent="0.4">
      <c r="B26" s="328" t="s">
        <v>133</v>
      </c>
      <c r="C26" s="328"/>
      <c r="D26" s="328"/>
      <c r="E26" s="331"/>
      <c r="F26" s="331"/>
      <c r="G26" s="331"/>
      <c r="H26" s="331"/>
      <c r="I26" s="331"/>
      <c r="J26" s="331"/>
      <c r="K26" s="399" t="s">
        <v>134</v>
      </c>
      <c r="M26" s="2226">
        <f>H45</f>
        <v>7773.2309089481696</v>
      </c>
      <c r="N26" s="2226"/>
      <c r="O26" s="549"/>
    </row>
    <row r="27" spans="1:26" ht="16.5" customHeight="1" thickBot="1" x14ac:dyDescent="0.4">
      <c r="B27" s="400" t="s">
        <v>135</v>
      </c>
      <c r="C27" s="335"/>
      <c r="D27" s="335"/>
      <c r="K27" s="541">
        <v>10000</v>
      </c>
    </row>
    <row r="28" spans="1:26" ht="8.25" customHeight="1" thickBot="1" x14ac:dyDescent="0.4">
      <c r="B28" s="336"/>
      <c r="K28" s="337"/>
    </row>
    <row r="29" spans="1:26" ht="15.75" customHeight="1" thickBot="1" x14ac:dyDescent="0.4">
      <c r="B29" s="338" t="s">
        <v>136</v>
      </c>
      <c r="C29" s="339"/>
      <c r="D29" s="339"/>
      <c r="K29" s="542">
        <v>6.5</v>
      </c>
      <c r="L29" s="339" t="s">
        <v>113</v>
      </c>
      <c r="M29" s="339"/>
    </row>
    <row r="30" spans="1:26" ht="6.75" customHeight="1" thickBot="1" x14ac:dyDescent="0.4">
      <c r="B30" s="336"/>
      <c r="K30" s="337"/>
      <c r="P30" s="555"/>
    </row>
    <row r="31" spans="1:26" ht="16.5" customHeight="1" thickBot="1" x14ac:dyDescent="0.4">
      <c r="B31" s="341" t="s">
        <v>114</v>
      </c>
      <c r="C31" s="342"/>
      <c r="D31" s="342"/>
      <c r="E31" s="343"/>
      <c r="F31" s="343"/>
      <c r="G31" s="343"/>
      <c r="K31" s="540">
        <v>4</v>
      </c>
      <c r="L31" s="344" t="s">
        <v>50</v>
      </c>
      <c r="M31" s="344"/>
    </row>
    <row r="32" spans="1:26" ht="9.75" customHeight="1" x14ac:dyDescent="0.3">
      <c r="B32" s="345"/>
      <c r="C32" s="345"/>
      <c r="D32" s="345"/>
      <c r="E32" s="345"/>
      <c r="F32" s="345"/>
      <c r="G32" s="345"/>
      <c r="H32" s="346"/>
      <c r="I32" s="346"/>
      <c r="J32" s="346"/>
      <c r="K32" s="346"/>
      <c r="L32" s="346"/>
      <c r="M32" s="346"/>
      <c r="N32" s="346"/>
      <c r="O32" s="546"/>
      <c r="P32" s="546"/>
      <c r="Q32" s="546"/>
      <c r="R32" s="546"/>
      <c r="S32" s="546"/>
    </row>
    <row r="33" spans="1:26" ht="18" x14ac:dyDescent="0.35">
      <c r="B33" s="401" t="s">
        <v>115</v>
      </c>
      <c r="D33" s="402"/>
      <c r="E33" s="379"/>
      <c r="F33" s="343"/>
      <c r="G33" s="343"/>
      <c r="H33" s="351" t="s">
        <v>117</v>
      </c>
      <c r="I33" s="351"/>
      <c r="J33" s="351"/>
      <c r="K33" s="343"/>
      <c r="L33" s="343"/>
      <c r="M33" s="343"/>
      <c r="N33" s="343"/>
      <c r="O33" s="324"/>
      <c r="P33" s="324"/>
      <c r="Q33" s="324"/>
      <c r="R33" s="548"/>
    </row>
    <row r="34" spans="1:26" ht="21" x14ac:dyDescent="0.35">
      <c r="B34" s="403" t="s">
        <v>171</v>
      </c>
      <c r="C34" s="356"/>
      <c r="D34" s="356"/>
      <c r="E34" s="404"/>
      <c r="F34" s="343"/>
      <c r="G34" s="354" t="s">
        <v>119</v>
      </c>
      <c r="K34" s="405">
        <f>K29</f>
        <v>6.5</v>
      </c>
      <c r="L34" s="354" t="s">
        <v>102</v>
      </c>
      <c r="M34" s="406">
        <v>100</v>
      </c>
      <c r="N34" s="407"/>
      <c r="O34" s="548"/>
      <c r="P34" s="556"/>
      <c r="Q34" s="324"/>
      <c r="R34" s="548"/>
    </row>
    <row r="35" spans="1:26" ht="20.399999999999999" x14ac:dyDescent="0.35">
      <c r="B35" s="408" t="s">
        <v>121</v>
      </c>
      <c r="C35" s="360"/>
      <c r="D35" s="360"/>
      <c r="E35" s="404"/>
      <c r="F35" s="343"/>
      <c r="H35" s="361" t="s">
        <v>122</v>
      </c>
      <c r="I35" s="361"/>
      <c r="J35" s="361"/>
      <c r="K35" s="358">
        <f>K29/100</f>
        <v>6.5000000000000002E-2</v>
      </c>
      <c r="L35" s="343"/>
      <c r="M35" s="343"/>
      <c r="N35" s="343"/>
      <c r="O35" s="324"/>
      <c r="P35" s="324"/>
      <c r="Q35" s="324"/>
      <c r="R35" s="324"/>
    </row>
    <row r="36" spans="1:26" ht="18" x14ac:dyDescent="0.35">
      <c r="B36" s="409" t="s">
        <v>123</v>
      </c>
      <c r="C36" s="360"/>
      <c r="D36" s="360"/>
      <c r="E36" s="404"/>
      <c r="F36" s="343"/>
      <c r="G36" s="343"/>
      <c r="H36" s="365" t="s">
        <v>128</v>
      </c>
      <c r="I36" s="365"/>
      <c r="J36" s="365"/>
      <c r="K36" s="410">
        <f>K27</f>
        <v>10000</v>
      </c>
      <c r="L36" s="354"/>
      <c r="M36" s="354"/>
      <c r="N36" s="354"/>
      <c r="O36" s="548"/>
      <c r="P36" s="548"/>
      <c r="Q36" s="324"/>
      <c r="R36" s="548"/>
    </row>
    <row r="37" spans="1:26" ht="18" x14ac:dyDescent="0.35">
      <c r="B37" s="411" t="s">
        <v>125</v>
      </c>
      <c r="C37" s="360"/>
      <c r="D37" s="360"/>
      <c r="E37" s="404"/>
      <c r="F37" s="343"/>
      <c r="G37" s="343"/>
      <c r="H37" s="368" t="s">
        <v>104</v>
      </c>
      <c r="I37" s="369"/>
      <c r="J37" s="369"/>
      <c r="K37" s="370">
        <f>K31</f>
        <v>4</v>
      </c>
      <c r="L37" s="354"/>
      <c r="M37" s="354"/>
      <c r="N37" s="354"/>
      <c r="O37" s="548"/>
      <c r="P37" s="548"/>
      <c r="Q37" s="324"/>
      <c r="R37" s="548"/>
    </row>
    <row r="38" spans="1:26" ht="17.399999999999999" x14ac:dyDescent="0.3">
      <c r="B38" s="412" t="s">
        <v>126</v>
      </c>
      <c r="C38" s="413"/>
      <c r="D38" s="413"/>
      <c r="E38" s="414"/>
    </row>
    <row r="39" spans="1:26" ht="17.399999999999999" x14ac:dyDescent="0.3">
      <c r="B39" s="343"/>
      <c r="C39" s="343"/>
      <c r="D39" s="343"/>
      <c r="E39" s="343"/>
      <c r="F39" s="343"/>
      <c r="G39" s="351" t="s">
        <v>137</v>
      </c>
      <c r="H39" s="343"/>
      <c r="I39" s="343"/>
      <c r="J39" s="343"/>
      <c r="K39" s="343"/>
      <c r="L39" s="343"/>
      <c r="M39" s="343"/>
      <c r="N39" s="343"/>
      <c r="O39" s="324"/>
      <c r="P39" s="324"/>
      <c r="Q39" s="324"/>
      <c r="R39" s="324"/>
      <c r="S39" s="324"/>
    </row>
    <row r="40" spans="1:26" x14ac:dyDescent="0.3">
      <c r="B40" s="345" t="s">
        <v>100</v>
      </c>
      <c r="C40" s="415"/>
      <c r="D40" s="415"/>
      <c r="E40" s="375" t="s">
        <v>101</v>
      </c>
      <c r="F40" s="376"/>
      <c r="G40" s="377"/>
      <c r="H40" s="377"/>
      <c r="I40" s="416">
        <f>K31</f>
        <v>4</v>
      </c>
      <c r="J40" s="417" t="s">
        <v>138</v>
      </c>
      <c r="K40" s="376"/>
      <c r="L40" s="377"/>
      <c r="M40" s="377"/>
      <c r="N40" s="418">
        <f>K31</f>
        <v>4</v>
      </c>
      <c r="O40" s="324"/>
      <c r="Q40" s="323"/>
    </row>
    <row r="41" spans="1:26" s="428" customFormat="1" ht="19.5" customHeight="1" x14ac:dyDescent="0.3">
      <c r="A41" s="547"/>
      <c r="B41" s="419" t="s">
        <v>174</v>
      </c>
      <c r="C41" s="419"/>
      <c r="D41" s="419"/>
      <c r="E41" s="420">
        <f>K27</f>
        <v>10000</v>
      </c>
      <c r="F41" s="421" t="s">
        <v>140</v>
      </c>
      <c r="G41" s="422" t="s">
        <v>141</v>
      </c>
      <c r="H41" s="423">
        <f>K29/100</f>
        <v>6.5000000000000002E-2</v>
      </c>
      <c r="I41" s="424" t="s">
        <v>105</v>
      </c>
      <c r="J41" s="420">
        <f>K27</f>
        <v>10000</v>
      </c>
      <c r="K41" s="425" t="s">
        <v>142</v>
      </c>
      <c r="L41" s="422" t="s">
        <v>143</v>
      </c>
      <c r="M41" s="426">
        <f>K29/100+1</f>
        <v>1.0649999999999999</v>
      </c>
      <c r="N41" s="427" t="s">
        <v>105</v>
      </c>
      <c r="O41" s="324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</row>
    <row r="42" spans="1:26" ht="17.399999999999999" x14ac:dyDescent="0.3">
      <c r="B42" s="356"/>
      <c r="C42" s="356"/>
      <c r="D42" s="356"/>
      <c r="E42" s="410"/>
      <c r="F42" s="410"/>
      <c r="G42" s="346" t="s">
        <v>144</v>
      </c>
      <c r="O42" s="550"/>
      <c r="P42" s="558"/>
      <c r="Q42" s="559"/>
      <c r="R42" s="553"/>
    </row>
    <row r="43" spans="1:26" ht="13.5" customHeight="1" x14ac:dyDescent="0.3">
      <c r="B43" s="375" t="s">
        <v>106</v>
      </c>
      <c r="C43" s="377"/>
      <c r="D43" s="377"/>
      <c r="E43" s="433">
        <f>K31</f>
        <v>4</v>
      </c>
      <c r="F43" s="434"/>
      <c r="G43" s="440">
        <f>K27</f>
        <v>10000</v>
      </c>
      <c r="H43" s="441" t="s">
        <v>3</v>
      </c>
      <c r="I43" s="441" t="s">
        <v>147</v>
      </c>
      <c r="J43" s="437" t="s">
        <v>22</v>
      </c>
      <c r="K43" s="442">
        <f>(1+K29/100)^K31</f>
        <v>1.2864663506249996</v>
      </c>
      <c r="L43" s="443"/>
      <c r="Q43" s="323"/>
    </row>
    <row r="44" spans="1:26" ht="15.75" customHeight="1" thickBot="1" x14ac:dyDescent="0.35">
      <c r="B44" s="435">
        <f>K27</f>
        <v>10000</v>
      </c>
      <c r="C44" s="436" t="s">
        <v>146</v>
      </c>
      <c r="D44" s="437" t="s">
        <v>22</v>
      </c>
      <c r="E44" s="438">
        <f>(1+K29/100)</f>
        <v>1.0649999999999999</v>
      </c>
      <c r="F44" s="439"/>
      <c r="G44" s="346" t="s">
        <v>145</v>
      </c>
      <c r="P44" s="324"/>
    </row>
    <row r="45" spans="1:26" ht="16.2" thickBot="1" x14ac:dyDescent="0.35">
      <c r="G45" s="444" t="s">
        <v>148</v>
      </c>
      <c r="H45" s="445">
        <f>K27/(1+K29/100)^K31</f>
        <v>7773.2309089481696</v>
      </c>
      <c r="Q45" s="323"/>
    </row>
    <row r="46" spans="1:26" s="323" customFormat="1" ht="39" customHeight="1" x14ac:dyDescent="0.3">
      <c r="Q46" s="67"/>
    </row>
    <row r="47" spans="1:26" ht="20.399999999999999" x14ac:dyDescent="0.35">
      <c r="B47" s="554" t="s">
        <v>107</v>
      </c>
      <c r="C47" s="328"/>
      <c r="D47" s="328"/>
      <c r="Q47" s="323"/>
    </row>
    <row r="48" spans="1:26" x14ac:dyDescent="0.3">
      <c r="B48" s="330" t="s">
        <v>108</v>
      </c>
      <c r="C48" s="330"/>
      <c r="D48" s="330"/>
      <c r="E48" s="331"/>
      <c r="F48" s="331"/>
      <c r="G48" s="331"/>
      <c r="H48" s="331"/>
      <c r="I48" s="331"/>
      <c r="J48" s="331"/>
      <c r="K48" s="331"/>
      <c r="L48" s="332"/>
      <c r="M48" s="332"/>
      <c r="N48" s="332"/>
      <c r="O48" s="545"/>
      <c r="P48" s="545"/>
      <c r="Q48" s="545"/>
      <c r="R48" s="545"/>
      <c r="S48" s="545"/>
    </row>
    <row r="49" spans="2:19" ht="18" customHeight="1" thickBot="1" x14ac:dyDescent="0.4">
      <c r="B49" s="328" t="s">
        <v>179</v>
      </c>
      <c r="C49" s="328"/>
      <c r="D49" s="328"/>
      <c r="E49" s="331"/>
      <c r="F49" s="331"/>
      <c r="G49" s="331"/>
      <c r="H49" s="331"/>
      <c r="I49" s="331"/>
      <c r="J49" s="446" t="s">
        <v>61</v>
      </c>
      <c r="K49" s="561">
        <f>K76</f>
        <v>6.4999999999999947</v>
      </c>
      <c r="O49" s="551" t="s">
        <v>13</v>
      </c>
    </row>
    <row r="50" spans="2:19" ht="16.5" customHeight="1" thickBot="1" x14ac:dyDescent="0.4">
      <c r="B50" s="400" t="s">
        <v>135</v>
      </c>
      <c r="C50" s="335"/>
      <c r="D50" s="335"/>
      <c r="K50" s="541">
        <v>10000</v>
      </c>
    </row>
    <row r="51" spans="2:19" ht="11.25" customHeight="1" thickBot="1" x14ac:dyDescent="0.4">
      <c r="B51" s="336"/>
      <c r="K51" s="337"/>
    </row>
    <row r="52" spans="2:19" ht="15.75" customHeight="1" thickBot="1" x14ac:dyDescent="0.4">
      <c r="B52" s="334" t="s">
        <v>149</v>
      </c>
      <c r="C52" s="339"/>
      <c r="D52" s="339"/>
      <c r="K52" s="543">
        <f>H45</f>
        <v>7773.2309089481696</v>
      </c>
      <c r="L52" s="339"/>
      <c r="M52" s="339"/>
    </row>
    <row r="53" spans="2:19" ht="9" customHeight="1" thickBot="1" x14ac:dyDescent="0.4">
      <c r="B53" s="336"/>
      <c r="K53" s="337"/>
      <c r="P53" s="555"/>
    </row>
    <row r="54" spans="2:19" ht="16.5" customHeight="1" thickBot="1" x14ac:dyDescent="0.4">
      <c r="B54" s="341" t="s">
        <v>114</v>
      </c>
      <c r="C54" s="342"/>
      <c r="D54" s="342"/>
      <c r="E54" s="343"/>
      <c r="F54" s="343"/>
      <c r="G54" s="343"/>
      <c r="K54" s="540">
        <v>4</v>
      </c>
      <c r="L54" s="344" t="s">
        <v>50</v>
      </c>
      <c r="M54" s="344"/>
    </row>
    <row r="55" spans="2:19" x14ac:dyDescent="0.3">
      <c r="B55" s="345"/>
      <c r="C55" s="345"/>
      <c r="D55" s="345"/>
      <c r="E55" s="345"/>
      <c r="F55" s="345"/>
      <c r="G55" s="345"/>
      <c r="H55" s="346"/>
      <c r="I55" s="346"/>
      <c r="J55" s="346"/>
      <c r="K55" s="346"/>
      <c r="L55" s="346"/>
      <c r="M55" s="346"/>
      <c r="N55" s="346"/>
      <c r="O55" s="546"/>
      <c r="P55" s="546"/>
      <c r="Q55" s="546"/>
      <c r="R55" s="546"/>
      <c r="S55" s="546"/>
    </row>
    <row r="56" spans="2:19" ht="18" x14ac:dyDescent="0.35">
      <c r="B56" s="401" t="s">
        <v>115</v>
      </c>
      <c r="C56" s="402" t="s">
        <v>116</v>
      </c>
      <c r="D56" s="402"/>
      <c r="E56" s="379"/>
      <c r="F56" s="343"/>
      <c r="G56" s="343"/>
      <c r="H56" s="351" t="s">
        <v>117</v>
      </c>
      <c r="I56" s="351"/>
      <c r="J56" s="351"/>
      <c r="K56" s="343"/>
      <c r="L56" s="343"/>
      <c r="M56" s="343"/>
      <c r="N56" s="343"/>
      <c r="O56" s="324"/>
      <c r="P56" s="324"/>
      <c r="Q56" s="324"/>
      <c r="R56" s="548"/>
    </row>
    <row r="57" spans="2:19" ht="20.399999999999999" x14ac:dyDescent="0.35">
      <c r="B57" s="403" t="s">
        <v>118</v>
      </c>
      <c r="C57" s="356"/>
      <c r="D57" s="356"/>
      <c r="E57" s="404"/>
      <c r="F57" s="343"/>
      <c r="G57" s="354"/>
      <c r="K57" s="405"/>
      <c r="L57" s="354"/>
      <c r="M57" s="406"/>
      <c r="N57" s="407"/>
      <c r="O57" s="548"/>
      <c r="P57" s="556"/>
      <c r="Q57" s="324"/>
      <c r="R57" s="548"/>
    </row>
    <row r="58" spans="2:19" ht="20.399999999999999" x14ac:dyDescent="0.35">
      <c r="B58" s="408" t="s">
        <v>121</v>
      </c>
      <c r="C58" s="360"/>
      <c r="D58" s="360"/>
      <c r="E58" s="404"/>
      <c r="F58" s="343"/>
      <c r="H58" s="447" t="s">
        <v>124</v>
      </c>
      <c r="I58" s="361"/>
      <c r="J58" s="361"/>
      <c r="K58" s="448">
        <f>K52</f>
        <v>7773.2309089481696</v>
      </c>
      <c r="L58" s="343"/>
      <c r="M58" s="343"/>
      <c r="N58" s="343"/>
      <c r="O58" s="324"/>
      <c r="P58" s="324"/>
      <c r="Q58" s="324"/>
      <c r="R58" s="324"/>
    </row>
    <row r="59" spans="2:19" ht="18" x14ac:dyDescent="0.35">
      <c r="B59" s="409" t="s">
        <v>123</v>
      </c>
      <c r="C59" s="360"/>
      <c r="D59" s="360"/>
      <c r="E59" s="404"/>
      <c r="F59" s="343"/>
      <c r="G59" s="343"/>
      <c r="H59" s="365" t="s">
        <v>128</v>
      </c>
      <c r="I59" s="365"/>
      <c r="J59" s="365"/>
      <c r="K59" s="410">
        <f>K50</f>
        <v>10000</v>
      </c>
      <c r="L59" s="354"/>
      <c r="M59" s="354"/>
      <c r="N59" s="354"/>
      <c r="O59" s="548"/>
      <c r="P59" s="548"/>
      <c r="Q59" s="324"/>
      <c r="R59" s="548"/>
    </row>
    <row r="60" spans="2:19" ht="18" x14ac:dyDescent="0.35">
      <c r="B60" s="411" t="s">
        <v>125</v>
      </c>
      <c r="C60" s="360"/>
      <c r="D60" s="360"/>
      <c r="E60" s="404"/>
      <c r="F60" s="343"/>
      <c r="G60" s="343"/>
      <c r="H60" s="368" t="s">
        <v>104</v>
      </c>
      <c r="I60" s="369"/>
      <c r="J60" s="369"/>
      <c r="K60" s="370">
        <f>K54</f>
        <v>4</v>
      </c>
      <c r="L60" s="354"/>
      <c r="M60" s="354"/>
      <c r="N60" s="354"/>
      <c r="O60" s="548"/>
      <c r="P60" s="548"/>
      <c r="Q60" s="324"/>
      <c r="R60" s="548"/>
    </row>
    <row r="61" spans="2:19" ht="17.399999999999999" x14ac:dyDescent="0.3">
      <c r="B61" s="412" t="s">
        <v>126</v>
      </c>
      <c r="C61" s="413"/>
      <c r="D61" s="413"/>
      <c r="E61" s="414"/>
    </row>
    <row r="62" spans="2:19" ht="17.399999999999999" x14ac:dyDescent="0.3">
      <c r="B62" s="343"/>
      <c r="C62" s="343"/>
      <c r="D62" s="343"/>
      <c r="E62" s="343"/>
      <c r="F62" s="343"/>
      <c r="G62" s="351" t="s">
        <v>150</v>
      </c>
      <c r="H62" s="343"/>
      <c r="I62" s="343"/>
      <c r="J62" s="343"/>
      <c r="K62" s="343"/>
      <c r="L62" s="343"/>
      <c r="M62" s="343"/>
      <c r="N62" s="343"/>
      <c r="O62" s="324"/>
      <c r="P62" s="324"/>
      <c r="Q62" s="324"/>
      <c r="R62" s="324"/>
      <c r="S62" s="324"/>
    </row>
    <row r="63" spans="2:19" x14ac:dyDescent="0.3">
      <c r="B63" s="375" t="s">
        <v>100</v>
      </c>
      <c r="C63" s="449" t="s">
        <v>103</v>
      </c>
      <c r="D63" s="570"/>
      <c r="E63" s="571" t="s">
        <v>101</v>
      </c>
      <c r="F63" s="572"/>
      <c r="G63" s="573"/>
      <c r="H63" s="573"/>
      <c r="I63" s="573"/>
      <c r="J63" s="574">
        <f>K54</f>
        <v>4</v>
      </c>
      <c r="K63" s="575"/>
      <c r="L63" s="345"/>
      <c r="M63" s="343"/>
      <c r="N63" s="343"/>
      <c r="O63" s="552"/>
      <c r="Q63" s="323"/>
    </row>
    <row r="64" spans="2:19" ht="17.399999999999999" x14ac:dyDescent="0.3">
      <c r="B64" s="381" t="s">
        <v>139</v>
      </c>
      <c r="C64" s="451"/>
      <c r="D64" s="576"/>
      <c r="E64" s="577">
        <f>K50</f>
        <v>10000</v>
      </c>
      <c r="F64" s="578" t="s">
        <v>3</v>
      </c>
      <c r="G64" s="579">
        <f>K52</f>
        <v>7773.2309089481696</v>
      </c>
      <c r="H64" s="580" t="s">
        <v>180</v>
      </c>
      <c r="I64" s="581" t="s">
        <v>62</v>
      </c>
      <c r="J64" s="568" t="s">
        <v>105</v>
      </c>
      <c r="K64" s="582"/>
      <c r="L64" s="431"/>
      <c r="M64" s="429"/>
      <c r="N64" s="432"/>
      <c r="O64" s="553"/>
      <c r="Q64" s="323"/>
    </row>
    <row r="65" spans="2:36" ht="17.399999999999999" x14ac:dyDescent="0.3">
      <c r="B65" s="356"/>
      <c r="C65" s="356"/>
      <c r="D65" s="576"/>
      <c r="E65" s="583"/>
      <c r="F65" s="584"/>
      <c r="G65" s="585"/>
      <c r="H65" s="586"/>
      <c r="I65" s="587"/>
      <c r="J65" s="588"/>
      <c r="K65" s="583"/>
      <c r="L65" s="431"/>
      <c r="M65" s="429"/>
      <c r="N65" s="432"/>
      <c r="O65" s="553"/>
      <c r="Q65" s="323"/>
    </row>
    <row r="66" spans="2:36" ht="17.399999999999999" x14ac:dyDescent="0.3">
      <c r="B66" s="356"/>
      <c r="C66" s="356"/>
      <c r="D66" s="571" t="s">
        <v>16</v>
      </c>
      <c r="E66" s="589"/>
      <c r="F66" s="590"/>
      <c r="G66" s="591"/>
      <c r="H66" s="592"/>
      <c r="I66" s="593"/>
      <c r="J66" s="594"/>
      <c r="K66" s="595">
        <f>K54</f>
        <v>4</v>
      </c>
      <c r="L66" s="431"/>
      <c r="M66" s="429"/>
      <c r="N66" s="432"/>
      <c r="O66" s="553"/>
      <c r="Q66" s="323"/>
    </row>
    <row r="67" spans="2:36" ht="17.399999999999999" x14ac:dyDescent="0.3">
      <c r="B67" s="356"/>
      <c r="C67" s="356"/>
      <c r="D67" s="596"/>
      <c r="E67" s="563">
        <f>K50</f>
        <v>10000</v>
      </c>
      <c r="F67" s="564" t="s">
        <v>102</v>
      </c>
      <c r="G67" s="565">
        <f>K52</f>
        <v>7773.2309089481696</v>
      </c>
      <c r="H67" s="566" t="s">
        <v>152</v>
      </c>
      <c r="I67" s="597">
        <v>1</v>
      </c>
      <c r="J67" s="598" t="s">
        <v>19</v>
      </c>
      <c r="K67" s="599" t="s">
        <v>153</v>
      </c>
      <c r="L67" s="430"/>
      <c r="M67" s="430"/>
      <c r="N67" s="410"/>
      <c r="O67" s="550"/>
      <c r="P67" s="558"/>
      <c r="Q67" s="559"/>
      <c r="R67" s="553"/>
      <c r="S67" s="324"/>
      <c r="T67" s="324"/>
      <c r="U67" s="324"/>
      <c r="V67" s="324"/>
      <c r="W67" s="324"/>
      <c r="X67" s="324"/>
      <c r="Y67" s="324"/>
      <c r="Z67" s="324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</row>
    <row r="68" spans="2:36" ht="17.399999999999999" x14ac:dyDescent="0.3">
      <c r="B68" s="356"/>
      <c r="C68" s="356"/>
      <c r="D68" s="576"/>
      <c r="E68" s="600"/>
      <c r="F68" s="601"/>
      <c r="G68" s="602"/>
      <c r="H68" s="603"/>
      <c r="I68" s="604"/>
      <c r="J68" s="576"/>
      <c r="K68" s="605"/>
      <c r="L68" s="430"/>
      <c r="M68" s="430"/>
      <c r="N68" s="410"/>
      <c r="O68" s="550"/>
      <c r="P68" s="558"/>
      <c r="Q68" s="559"/>
      <c r="R68" s="553"/>
      <c r="S68" s="324"/>
      <c r="T68" s="324"/>
      <c r="U68" s="324"/>
      <c r="V68" s="324"/>
      <c r="W68" s="324"/>
      <c r="X68" s="324"/>
      <c r="Y68" s="324"/>
      <c r="Z68" s="324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</row>
    <row r="69" spans="2:36" ht="13.5" customHeight="1" x14ac:dyDescent="0.3">
      <c r="B69" s="345"/>
      <c r="C69" s="343"/>
      <c r="D69" s="571" t="s">
        <v>106</v>
      </c>
      <c r="E69" s="606"/>
      <c r="F69" s="606"/>
      <c r="G69" s="607">
        <f>K54</f>
        <v>4</v>
      </c>
      <c r="H69" s="573"/>
      <c r="I69" s="573"/>
      <c r="J69" s="573"/>
      <c r="K69" s="608"/>
      <c r="L69" s="343"/>
      <c r="M69" s="345"/>
      <c r="N69" s="343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</row>
    <row r="70" spans="2:36" ht="15.75" customHeight="1" x14ac:dyDescent="0.3">
      <c r="B70" s="410"/>
      <c r="C70" s="475"/>
      <c r="D70" s="609"/>
      <c r="E70" s="610">
        <f>K50/K52</f>
        <v>1.2864663506249996</v>
      </c>
      <c r="F70" s="611" t="s">
        <v>3</v>
      </c>
      <c r="G70" s="612" t="s">
        <v>181</v>
      </c>
      <c r="H70" s="613"/>
      <c r="I70" s="614"/>
      <c r="J70" s="614"/>
      <c r="K70" s="615"/>
      <c r="L70" s="443"/>
      <c r="M70" s="480"/>
      <c r="N70" s="458"/>
      <c r="O70" s="324"/>
      <c r="P70" s="324"/>
      <c r="Q70" s="560"/>
      <c r="R70" s="324"/>
      <c r="S70" s="324"/>
      <c r="T70" s="324"/>
      <c r="U70" s="324"/>
      <c r="V70" s="324"/>
      <c r="W70" s="324"/>
      <c r="X70" s="324"/>
      <c r="Y70" s="324"/>
      <c r="Z70" s="324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</row>
    <row r="71" spans="2:36" ht="15.75" customHeight="1" x14ac:dyDescent="0.3">
      <c r="B71" s="410"/>
      <c r="C71" s="475"/>
      <c r="D71" s="430"/>
      <c r="E71" s="481"/>
      <c r="F71" s="410"/>
      <c r="G71" s="482"/>
      <c r="H71" s="483"/>
      <c r="K71" s="484"/>
      <c r="L71" s="443"/>
      <c r="M71" s="480"/>
      <c r="N71" s="458"/>
      <c r="O71" s="324"/>
      <c r="P71" s="324"/>
      <c r="Q71" s="560"/>
      <c r="R71" s="324"/>
      <c r="S71" s="324"/>
      <c r="T71" s="324"/>
      <c r="U71" s="324"/>
      <c r="V71" s="324"/>
      <c r="W71" s="324"/>
      <c r="X71" s="324"/>
      <c r="Y71" s="324"/>
      <c r="Z71" s="324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</row>
    <row r="72" spans="2:36" ht="17.399999999999999" x14ac:dyDescent="0.3">
      <c r="D72" s="485" t="s">
        <v>155</v>
      </c>
      <c r="E72" s="486"/>
      <c r="F72" s="487"/>
      <c r="G72" s="488">
        <f>K54</f>
        <v>4</v>
      </c>
      <c r="H72" s="489" t="s">
        <v>156</v>
      </c>
      <c r="I72" s="490"/>
      <c r="J72" s="395"/>
      <c r="K72" s="491"/>
      <c r="L72" s="492"/>
      <c r="M72" s="493"/>
      <c r="N72" s="398"/>
      <c r="O72" s="324"/>
      <c r="P72" s="324"/>
      <c r="Q72" s="324"/>
      <c r="R72" s="324"/>
      <c r="S72" s="324"/>
      <c r="T72" s="324"/>
      <c r="U72" s="324"/>
      <c r="V72" s="324"/>
      <c r="W72" s="324"/>
      <c r="X72" s="324"/>
      <c r="Y72" s="324"/>
      <c r="Z72" s="324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</row>
    <row r="73" spans="2:36" x14ac:dyDescent="0.3"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24"/>
      <c r="P73" s="324"/>
      <c r="Q73" s="560"/>
      <c r="R73" s="324"/>
      <c r="S73" s="324"/>
      <c r="T73" s="324"/>
      <c r="U73" s="324"/>
      <c r="V73" s="324"/>
      <c r="W73" s="324"/>
      <c r="X73" s="324"/>
      <c r="Y73" s="324"/>
      <c r="Z73" s="324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</row>
    <row r="74" spans="2:36" ht="17.399999999999999" x14ac:dyDescent="0.3">
      <c r="B74" s="343"/>
      <c r="C74" s="343"/>
      <c r="D74" s="494" t="s">
        <v>145</v>
      </c>
      <c r="E74" s="495">
        <f>(K50/K52)^(1/K54)</f>
        <v>1.0649999999999999</v>
      </c>
      <c r="F74" s="496" t="s">
        <v>3</v>
      </c>
      <c r="G74" s="497" t="s">
        <v>154</v>
      </c>
      <c r="H74" s="498"/>
      <c r="I74" s="498"/>
      <c r="J74" s="498"/>
      <c r="K74" s="398"/>
      <c r="L74" s="343"/>
      <c r="M74" s="343"/>
      <c r="N74" s="343"/>
      <c r="O74" s="324"/>
      <c r="P74" s="324"/>
      <c r="Q74" s="560"/>
      <c r="R74" s="324"/>
      <c r="S74" s="324"/>
      <c r="T74" s="324"/>
      <c r="U74" s="324"/>
      <c r="V74" s="324"/>
      <c r="W74" s="324"/>
      <c r="X74" s="324"/>
      <c r="Y74" s="324"/>
      <c r="Z74" s="324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</row>
    <row r="75" spans="2:36" ht="18.600000000000001" thickBot="1" x14ac:dyDescent="0.4">
      <c r="B75" s="343"/>
      <c r="C75" s="343"/>
      <c r="D75" s="375" t="s">
        <v>157</v>
      </c>
      <c r="E75" s="499">
        <f>E74</f>
        <v>1.0649999999999999</v>
      </c>
      <c r="F75" s="500">
        <f>-1</f>
        <v>-1</v>
      </c>
      <c r="G75" s="501" t="s">
        <v>3</v>
      </c>
      <c r="H75" s="502" t="s">
        <v>62</v>
      </c>
      <c r="I75" s="377"/>
      <c r="J75" s="377"/>
      <c r="K75" s="379"/>
      <c r="L75" s="343"/>
      <c r="M75" s="343"/>
      <c r="N75" s="343"/>
      <c r="O75" s="324"/>
      <c r="P75" s="324"/>
      <c r="Q75" s="560"/>
      <c r="R75" s="324"/>
      <c r="S75" s="324"/>
      <c r="T75" s="324"/>
      <c r="U75" s="324"/>
      <c r="V75" s="324"/>
      <c r="W75" s="324"/>
      <c r="X75" s="324"/>
      <c r="Y75" s="324"/>
      <c r="Z75" s="324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</row>
    <row r="76" spans="2:36" ht="21" thickBot="1" x14ac:dyDescent="0.4">
      <c r="C76" s="503"/>
      <c r="D76" s="504" t="s">
        <v>158</v>
      </c>
      <c r="E76" s="505">
        <f>E74-1</f>
        <v>6.4999999999999947E-2</v>
      </c>
      <c r="F76" s="506" t="s">
        <v>3</v>
      </c>
      <c r="G76" s="507" t="s">
        <v>62</v>
      </c>
      <c r="H76" s="508"/>
      <c r="I76" s="508"/>
      <c r="J76" s="509" t="s">
        <v>182</v>
      </c>
      <c r="K76" s="510">
        <f>(E75-1)*100</f>
        <v>6.4999999999999947</v>
      </c>
      <c r="L76" s="511" t="s">
        <v>13</v>
      </c>
      <c r="M76" s="343"/>
    </row>
    <row r="77" spans="2:36" s="323" customFormat="1" ht="60.75" customHeight="1" x14ac:dyDescent="0.3">
      <c r="D77" s="324"/>
      <c r="Q77" s="67"/>
    </row>
    <row r="78" spans="2:36" ht="20.399999999999999" x14ac:dyDescent="0.35">
      <c r="B78" s="554" t="s">
        <v>107</v>
      </c>
      <c r="C78" s="328"/>
      <c r="D78" s="328"/>
      <c r="Q78" s="323"/>
    </row>
    <row r="79" spans="2:36" x14ac:dyDescent="0.3">
      <c r="B79" s="330" t="s">
        <v>108</v>
      </c>
      <c r="C79" s="330"/>
      <c r="D79" s="330"/>
      <c r="E79" s="331"/>
      <c r="F79" s="331"/>
      <c r="G79" s="331"/>
      <c r="H79" s="331"/>
      <c r="I79" s="331"/>
      <c r="J79" s="331"/>
      <c r="K79" s="331"/>
      <c r="L79" s="332"/>
      <c r="M79" s="332"/>
      <c r="N79" s="332"/>
      <c r="O79" s="545"/>
      <c r="P79" s="545"/>
      <c r="Q79" s="545"/>
      <c r="R79" s="545"/>
      <c r="S79" s="545"/>
    </row>
    <row r="80" spans="2:36" ht="18" customHeight="1" thickBot="1" x14ac:dyDescent="0.4">
      <c r="B80" s="328" t="s">
        <v>159</v>
      </c>
      <c r="C80" s="328"/>
      <c r="D80" s="328"/>
      <c r="E80" s="331"/>
      <c r="F80" s="331"/>
      <c r="G80" s="331"/>
      <c r="H80" s="331"/>
      <c r="I80" s="446" t="s">
        <v>104</v>
      </c>
      <c r="J80" s="2227" t="str">
        <f>I109</f>
        <v>n</v>
      </c>
      <c r="K80" s="2227"/>
      <c r="O80" s="551" t="s">
        <v>13</v>
      </c>
    </row>
    <row r="81" spans="2:19" ht="16.5" customHeight="1" thickBot="1" x14ac:dyDescent="0.4">
      <c r="B81" s="400" t="s">
        <v>135</v>
      </c>
      <c r="C81" s="335"/>
      <c r="D81" s="335"/>
      <c r="K81" s="541">
        <v>10000</v>
      </c>
    </row>
    <row r="82" spans="2:19" ht="11.25" customHeight="1" thickBot="1" x14ac:dyDescent="0.4">
      <c r="B82" s="336"/>
      <c r="K82" s="337"/>
    </row>
    <row r="83" spans="2:19" ht="15.75" customHeight="1" thickBot="1" x14ac:dyDescent="0.4">
      <c r="B83" s="334" t="s">
        <v>149</v>
      </c>
      <c r="C83" s="339"/>
      <c r="D83" s="339"/>
      <c r="K83" s="543">
        <v>7777</v>
      </c>
      <c r="L83" s="339"/>
      <c r="M83" s="339"/>
    </row>
    <row r="84" spans="2:19" ht="9" customHeight="1" thickBot="1" x14ac:dyDescent="0.4">
      <c r="B84" s="336"/>
      <c r="K84" s="337"/>
      <c r="P84" s="555"/>
    </row>
    <row r="85" spans="2:19" ht="16.5" customHeight="1" thickBot="1" x14ac:dyDescent="0.4">
      <c r="B85" s="512" t="s">
        <v>160</v>
      </c>
      <c r="C85" s="342"/>
      <c r="D85" s="342"/>
      <c r="E85" s="343"/>
      <c r="F85" s="343"/>
      <c r="G85" s="343"/>
      <c r="K85" s="544">
        <v>6.5</v>
      </c>
      <c r="L85" s="513" t="s">
        <v>13</v>
      </c>
      <c r="M85" s="344"/>
    </row>
    <row r="86" spans="2:19" x14ac:dyDescent="0.3">
      <c r="B86" s="345"/>
      <c r="C86" s="345"/>
      <c r="D86" s="345"/>
      <c r="E86" s="345"/>
      <c r="F86" s="345"/>
      <c r="G86" s="345"/>
      <c r="H86" s="346"/>
      <c r="I86" s="346"/>
      <c r="J86" s="346"/>
      <c r="K86" s="346"/>
      <c r="L86" s="346"/>
      <c r="M86" s="346"/>
      <c r="N86" s="346"/>
      <c r="O86" s="546"/>
      <c r="P86" s="546"/>
      <c r="Q86" s="546"/>
      <c r="R86" s="546"/>
      <c r="S86" s="546"/>
    </row>
    <row r="87" spans="2:19" ht="18" x14ac:dyDescent="0.35">
      <c r="B87" s="401" t="s">
        <v>115</v>
      </c>
      <c r="C87" s="402" t="s">
        <v>116</v>
      </c>
      <c r="D87" s="402"/>
      <c r="E87" s="379"/>
      <c r="F87" s="343"/>
      <c r="G87" s="343"/>
      <c r="H87" s="351" t="s">
        <v>117</v>
      </c>
      <c r="I87" s="351"/>
      <c r="J87" s="351"/>
      <c r="K87" s="343"/>
      <c r="L87" s="343"/>
      <c r="M87" s="343"/>
      <c r="N87" s="343"/>
      <c r="O87" s="324"/>
      <c r="P87" s="324"/>
      <c r="Q87" s="324"/>
      <c r="R87" s="548"/>
    </row>
    <row r="88" spans="2:19" ht="20.399999999999999" x14ac:dyDescent="0.35">
      <c r="B88" s="403" t="s">
        <v>118</v>
      </c>
      <c r="C88" s="356"/>
      <c r="D88" s="356"/>
      <c r="E88" s="404"/>
      <c r="F88" s="343"/>
      <c r="G88" s="354"/>
      <c r="K88" s="405"/>
      <c r="L88" s="354"/>
      <c r="M88" s="406"/>
      <c r="N88" s="407"/>
      <c r="O88" s="548"/>
      <c r="P88" s="556"/>
      <c r="Q88" s="324"/>
      <c r="R88" s="548"/>
    </row>
    <row r="89" spans="2:19" ht="20.399999999999999" x14ac:dyDescent="0.35">
      <c r="B89" s="408" t="s">
        <v>121</v>
      </c>
      <c r="C89" s="360"/>
      <c r="D89" s="360"/>
      <c r="E89" s="404"/>
      <c r="F89" s="343"/>
      <c r="H89" s="447" t="s">
        <v>124</v>
      </c>
      <c r="I89" s="361"/>
      <c r="J89" s="361"/>
      <c r="K89" s="448">
        <f>K83</f>
        <v>7777</v>
      </c>
      <c r="L89" s="343"/>
      <c r="M89" s="343"/>
      <c r="N89" s="343"/>
      <c r="O89" s="324"/>
      <c r="P89" s="324"/>
      <c r="Q89" s="324"/>
      <c r="R89" s="324"/>
    </row>
    <row r="90" spans="2:19" ht="18" x14ac:dyDescent="0.35">
      <c r="B90" s="409" t="s">
        <v>123</v>
      </c>
      <c r="C90" s="360"/>
      <c r="D90" s="360"/>
      <c r="E90" s="404"/>
      <c r="F90" s="343"/>
      <c r="G90" s="343"/>
      <c r="H90" s="365" t="s">
        <v>128</v>
      </c>
      <c r="I90" s="365"/>
      <c r="J90" s="365"/>
      <c r="K90" s="410">
        <f>K81</f>
        <v>10000</v>
      </c>
      <c r="L90" s="354"/>
      <c r="M90" s="354"/>
      <c r="N90" s="354"/>
      <c r="O90" s="548"/>
      <c r="P90" s="548"/>
      <c r="Q90" s="324"/>
      <c r="R90" s="548"/>
    </row>
    <row r="91" spans="2:19" ht="18" x14ac:dyDescent="0.35">
      <c r="B91" s="411" t="s">
        <v>161</v>
      </c>
      <c r="C91" s="360"/>
      <c r="D91" s="360"/>
      <c r="E91" s="404"/>
      <c r="F91" s="343"/>
      <c r="G91" s="343"/>
      <c r="H91" s="514" t="s">
        <v>162</v>
      </c>
      <c r="I91" s="369"/>
      <c r="J91" s="369"/>
      <c r="K91" s="515">
        <f>K85/100</f>
        <v>6.5000000000000002E-2</v>
      </c>
      <c r="L91" s="354"/>
      <c r="M91" s="354"/>
      <c r="N91" s="354"/>
      <c r="O91" s="548"/>
      <c r="P91" s="548"/>
      <c r="Q91" s="324"/>
      <c r="R91" s="548"/>
    </row>
    <row r="92" spans="2:19" ht="17.399999999999999" x14ac:dyDescent="0.3">
      <c r="B92" s="412" t="s">
        <v>126</v>
      </c>
      <c r="C92" s="413"/>
      <c r="D92" s="413"/>
      <c r="E92" s="414"/>
    </row>
    <row r="93" spans="2:19" ht="17.399999999999999" x14ac:dyDescent="0.3">
      <c r="B93" s="343"/>
      <c r="C93" s="343"/>
      <c r="D93" s="343"/>
      <c r="E93" s="343"/>
      <c r="F93" s="343"/>
      <c r="G93" s="351" t="s">
        <v>163</v>
      </c>
      <c r="H93" s="343"/>
      <c r="I93" s="343"/>
      <c r="J93" s="343"/>
      <c r="K93" s="343"/>
      <c r="L93" s="343"/>
      <c r="M93" s="343"/>
      <c r="N93" s="343"/>
      <c r="O93" s="324"/>
      <c r="P93" s="324"/>
      <c r="Q93" s="324"/>
      <c r="R93" s="324"/>
      <c r="S93" s="324"/>
    </row>
    <row r="94" spans="2:19" x14ac:dyDescent="0.3">
      <c r="B94" s="375" t="s">
        <v>100</v>
      </c>
      <c r="C94" s="449" t="s">
        <v>103</v>
      </c>
      <c r="D94" s="415"/>
      <c r="E94" s="375" t="s">
        <v>101</v>
      </c>
      <c r="F94" s="376"/>
      <c r="G94" s="377"/>
      <c r="H94" s="377"/>
      <c r="I94" s="377"/>
      <c r="J94" s="516" t="s">
        <v>103</v>
      </c>
      <c r="K94" s="450"/>
      <c r="L94" s="345"/>
      <c r="M94" s="343"/>
      <c r="N94" s="343"/>
      <c r="O94" s="552"/>
      <c r="Q94" s="323"/>
    </row>
    <row r="95" spans="2:19" ht="17.399999999999999" x14ac:dyDescent="0.3">
      <c r="B95" s="381" t="s">
        <v>139</v>
      </c>
      <c r="C95" s="451"/>
      <c r="D95" s="356"/>
      <c r="E95" s="435">
        <f>K81</f>
        <v>10000</v>
      </c>
      <c r="F95" s="452" t="s">
        <v>3</v>
      </c>
      <c r="G95" s="453">
        <f>K83</f>
        <v>7777</v>
      </c>
      <c r="H95" s="454" t="s">
        <v>151</v>
      </c>
      <c r="I95" s="562">
        <f>K85/100</f>
        <v>6.5000000000000002E-2</v>
      </c>
      <c r="J95" s="455" t="s">
        <v>105</v>
      </c>
      <c r="K95" s="456"/>
      <c r="L95" s="431"/>
      <c r="M95" s="429"/>
      <c r="N95" s="432"/>
      <c r="O95" s="553"/>
      <c r="Q95" s="323"/>
    </row>
    <row r="96" spans="2:19" ht="17.399999999999999" x14ac:dyDescent="0.3">
      <c r="B96" s="356"/>
      <c r="C96" s="356"/>
      <c r="D96" s="356"/>
      <c r="E96" s="410"/>
      <c r="F96" s="457"/>
      <c r="G96" s="458"/>
      <c r="H96" s="459"/>
      <c r="I96" s="460"/>
      <c r="J96" s="461"/>
      <c r="K96" s="410"/>
      <c r="L96" s="431"/>
      <c r="M96" s="429"/>
      <c r="N96" s="432"/>
      <c r="O96" s="553"/>
      <c r="Q96" s="323"/>
    </row>
    <row r="97" spans="2:36" ht="17.399999999999999" x14ac:dyDescent="0.3">
      <c r="B97" s="356"/>
      <c r="C97" s="356"/>
      <c r="D97" s="375" t="s">
        <v>16</v>
      </c>
      <c r="E97" s="462"/>
      <c r="F97" s="463"/>
      <c r="G97" s="464"/>
      <c r="H97" s="465"/>
      <c r="I97" s="466"/>
      <c r="J97" s="516" t="s">
        <v>103</v>
      </c>
      <c r="K97" s="517"/>
      <c r="L97" s="431"/>
      <c r="M97" s="429"/>
      <c r="N97" s="432"/>
      <c r="O97" s="553"/>
      <c r="Q97" s="323"/>
    </row>
    <row r="98" spans="2:36" ht="17.399999999999999" x14ac:dyDescent="0.3">
      <c r="B98" s="356"/>
      <c r="C98" s="356"/>
      <c r="D98" s="467"/>
      <c r="E98" s="563">
        <f>K81</f>
        <v>10000</v>
      </c>
      <c r="F98" s="564" t="s">
        <v>102</v>
      </c>
      <c r="G98" s="565">
        <f>K83</f>
        <v>7777</v>
      </c>
      <c r="H98" s="566" t="s">
        <v>164</v>
      </c>
      <c r="I98" s="567">
        <f>K85/100</f>
        <v>6.5000000000000002E-2</v>
      </c>
      <c r="J98" s="568" t="s">
        <v>105</v>
      </c>
      <c r="K98" s="569"/>
      <c r="L98" s="430"/>
      <c r="M98" s="430"/>
      <c r="N98" s="410"/>
      <c r="O98" s="550"/>
      <c r="P98" s="558"/>
      <c r="Q98" s="559"/>
      <c r="R98" s="553"/>
      <c r="S98" s="324"/>
      <c r="T98" s="324"/>
      <c r="U98" s="324"/>
      <c r="V98" s="324"/>
      <c r="W98" s="324"/>
      <c r="X98" s="324"/>
      <c r="Y98" s="324"/>
      <c r="Z98" s="324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</row>
    <row r="99" spans="2:36" ht="17.399999999999999" x14ac:dyDescent="0.3">
      <c r="B99" s="356"/>
      <c r="C99" s="356"/>
      <c r="D99" s="356"/>
      <c r="E99" s="468"/>
      <c r="F99" s="469"/>
      <c r="G99" s="470"/>
      <c r="H99" s="471"/>
      <c r="I99" s="472"/>
      <c r="J99" s="429"/>
      <c r="K99" s="473"/>
      <c r="L99" s="430"/>
      <c r="M99" s="430"/>
      <c r="N99" s="410"/>
      <c r="O99" s="550"/>
      <c r="P99" s="558"/>
      <c r="Q99" s="559"/>
      <c r="R99" s="553"/>
      <c r="S99" s="324"/>
      <c r="T99" s="324"/>
      <c r="U99" s="324"/>
      <c r="V99" s="324"/>
      <c r="W99" s="324"/>
      <c r="X99" s="324"/>
      <c r="Y99" s="324"/>
      <c r="Z99" s="324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</row>
    <row r="100" spans="2:36" ht="13.5" customHeight="1" x14ac:dyDescent="0.3">
      <c r="B100" s="345"/>
      <c r="C100" s="343"/>
      <c r="D100" s="375" t="s">
        <v>106</v>
      </c>
      <c r="E100" s="474"/>
      <c r="F100" s="474"/>
      <c r="G100" s="518" t="s">
        <v>165</v>
      </c>
      <c r="H100" s="377"/>
      <c r="I100" s="377"/>
      <c r="J100" s="377"/>
      <c r="K100" s="379"/>
      <c r="L100" s="343"/>
      <c r="M100" s="345"/>
      <c r="N100" s="343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</row>
    <row r="101" spans="2:36" ht="15.75" customHeight="1" x14ac:dyDescent="0.3">
      <c r="B101" s="410"/>
      <c r="C101" s="475"/>
      <c r="D101" s="476"/>
      <c r="E101" s="519">
        <f>K81/K83</f>
        <v>1.2858428700012858</v>
      </c>
      <c r="F101" s="477" t="s">
        <v>3</v>
      </c>
      <c r="G101" s="520">
        <f>1+K85/100</f>
        <v>1.0649999999999999</v>
      </c>
      <c r="H101" s="478"/>
      <c r="I101" s="413"/>
      <c r="J101" s="413"/>
      <c r="K101" s="479"/>
      <c r="L101" s="443"/>
      <c r="M101" s="480"/>
      <c r="N101" s="458"/>
      <c r="O101" s="324"/>
      <c r="P101" s="324"/>
      <c r="Q101" s="560"/>
      <c r="R101" s="324"/>
      <c r="S101" s="324"/>
      <c r="T101" s="324"/>
      <c r="U101" s="324"/>
      <c r="V101" s="324"/>
      <c r="W101" s="324"/>
      <c r="X101" s="324"/>
      <c r="Y101" s="324"/>
      <c r="Z101" s="324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</row>
    <row r="102" spans="2:36" ht="15.75" customHeight="1" x14ac:dyDescent="0.3">
      <c r="B102" s="410"/>
      <c r="C102" s="475"/>
      <c r="D102" s="430"/>
      <c r="E102" s="481"/>
      <c r="F102" s="410"/>
      <c r="G102" s="482"/>
      <c r="H102" s="483"/>
      <c r="K102" s="484"/>
      <c r="L102" s="443"/>
      <c r="M102" s="480"/>
      <c r="N102" s="458"/>
      <c r="O102" s="324"/>
      <c r="P102" s="324"/>
      <c r="Q102" s="560"/>
      <c r="R102" s="324"/>
      <c r="S102" s="324"/>
      <c r="T102" s="324"/>
      <c r="U102" s="324"/>
      <c r="V102" s="324"/>
      <c r="W102" s="324"/>
      <c r="X102" s="324"/>
      <c r="Y102" s="324"/>
      <c r="Z102" s="324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</row>
    <row r="103" spans="2:36" ht="17.399999999999999" x14ac:dyDescent="0.3">
      <c r="D103" s="485" t="s">
        <v>166</v>
      </c>
      <c r="E103" s="486"/>
      <c r="F103" s="487"/>
      <c r="G103" s="488"/>
      <c r="H103" s="489"/>
      <c r="I103" s="490"/>
      <c r="J103" s="395"/>
      <c r="K103" s="521"/>
      <c r="L103" s="429"/>
      <c r="M103" s="473"/>
      <c r="N103" s="343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</row>
    <row r="104" spans="2:36" x14ac:dyDescent="0.3">
      <c r="B104" s="343"/>
      <c r="C104" s="343"/>
      <c r="D104" s="343"/>
      <c r="E104" s="343"/>
      <c r="F104" s="343"/>
      <c r="G104" s="343"/>
      <c r="H104" s="522" t="s">
        <v>103</v>
      </c>
      <c r="I104" s="343"/>
      <c r="J104" s="343"/>
      <c r="K104" s="343"/>
      <c r="L104" s="343"/>
      <c r="M104" s="343"/>
      <c r="N104" s="343"/>
      <c r="O104" s="324"/>
      <c r="P104" s="324"/>
      <c r="Q104" s="560"/>
      <c r="R104" s="324"/>
      <c r="S104" s="324"/>
      <c r="T104" s="324"/>
      <c r="U104" s="324"/>
      <c r="V104" s="324"/>
      <c r="W104" s="324"/>
      <c r="X104" s="324"/>
      <c r="Y104" s="324"/>
      <c r="Z104" s="324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</row>
    <row r="105" spans="2:36" x14ac:dyDescent="0.3">
      <c r="B105" s="343"/>
      <c r="C105" s="345" t="s">
        <v>145</v>
      </c>
      <c r="D105" s="340" t="s">
        <v>167</v>
      </c>
      <c r="E105" s="523">
        <f>E101</f>
        <v>1.2858428700012858</v>
      </c>
      <c r="F105" s="471" t="s">
        <v>168</v>
      </c>
      <c r="G105" s="524">
        <f>G101</f>
        <v>1.0649999999999999</v>
      </c>
      <c r="H105" s="430" t="s">
        <v>105</v>
      </c>
      <c r="I105" s="343"/>
      <c r="J105" s="343"/>
      <c r="K105" s="343"/>
      <c r="L105" s="343"/>
      <c r="M105" s="343"/>
      <c r="N105" s="343"/>
      <c r="O105" s="324"/>
      <c r="P105" s="324"/>
      <c r="Q105" s="560"/>
      <c r="R105" s="324"/>
      <c r="S105" s="324"/>
      <c r="T105" s="324"/>
      <c r="U105" s="324"/>
      <c r="V105" s="324"/>
      <c r="W105" s="324"/>
      <c r="X105" s="324"/>
      <c r="Y105" s="324"/>
      <c r="Z105" s="324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</row>
    <row r="106" spans="2:36" x14ac:dyDescent="0.3">
      <c r="B106" s="343"/>
      <c r="O106" s="324"/>
      <c r="P106" s="324"/>
      <c r="Q106" s="560"/>
      <c r="R106" s="324"/>
      <c r="S106" s="324"/>
      <c r="T106" s="324"/>
      <c r="U106" s="324"/>
      <c r="V106" s="324"/>
      <c r="W106" s="324"/>
      <c r="X106" s="324"/>
      <c r="Y106" s="324"/>
      <c r="Z106" s="324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</row>
    <row r="107" spans="2:36" ht="18" x14ac:dyDescent="0.35">
      <c r="B107" s="343"/>
      <c r="C107" s="343"/>
      <c r="D107" s="345" t="s">
        <v>157</v>
      </c>
      <c r="E107" s="525">
        <f>LOG(K81/K83)</f>
        <v>0.10918790104487555</v>
      </c>
      <c r="F107" s="356" t="s">
        <v>169</v>
      </c>
      <c r="G107" s="524">
        <f>G101</f>
        <v>1.0649999999999999</v>
      </c>
      <c r="H107" s="526" t="s">
        <v>105</v>
      </c>
      <c r="I107" s="343"/>
      <c r="J107" s="343"/>
      <c r="K107" s="343"/>
      <c r="L107" s="343"/>
      <c r="M107" s="343"/>
    </row>
    <row r="108" spans="2:36" ht="21" customHeight="1" x14ac:dyDescent="0.35">
      <c r="B108" s="343"/>
      <c r="C108" s="343"/>
      <c r="D108" s="345" t="s">
        <v>158</v>
      </c>
      <c r="E108" s="527">
        <f>LOG(K81/K83)</f>
        <v>0.10918790104487555</v>
      </c>
      <c r="F108" s="528" t="s">
        <v>170</v>
      </c>
      <c r="G108" s="529">
        <f>LOG(G107)</f>
        <v>2.7349607774756507E-2</v>
      </c>
      <c r="H108" s="343"/>
      <c r="I108" s="343"/>
      <c r="J108" s="530"/>
      <c r="K108" s="531"/>
      <c r="L108" s="532"/>
      <c r="M108" s="343"/>
      <c r="N108" s="343"/>
    </row>
    <row r="109" spans="2:36" ht="27" customHeight="1" x14ac:dyDescent="0.35">
      <c r="B109" s="343"/>
      <c r="D109" s="345" t="s">
        <v>158</v>
      </c>
      <c r="E109" s="527">
        <f>LOG(K81/K83)</f>
        <v>0.10918790104487555</v>
      </c>
      <c r="F109" s="471" t="s">
        <v>102</v>
      </c>
      <c r="G109" s="529">
        <f>G108</f>
        <v>2.7349607774756507E-2</v>
      </c>
      <c r="H109" s="533" t="s">
        <v>3</v>
      </c>
      <c r="I109" s="534" t="s">
        <v>103</v>
      </c>
    </row>
    <row r="110" spans="2:36" ht="17.399999999999999" x14ac:dyDescent="0.3">
      <c r="E110" s="535" t="s">
        <v>103</v>
      </c>
      <c r="F110" s="536" t="s">
        <v>3</v>
      </c>
      <c r="G110" s="537">
        <f>E109/G109</f>
        <v>3.9923022642268093</v>
      </c>
    </row>
    <row r="111" spans="2:36" s="323" customFormat="1" x14ac:dyDescent="0.3">
      <c r="Q111" s="67"/>
    </row>
    <row r="112" spans="2:36" s="323" customFormat="1" x14ac:dyDescent="0.3">
      <c r="Q112" s="67"/>
    </row>
    <row r="113" spans="17:17" s="323" customFormat="1" x14ac:dyDescent="0.3">
      <c r="Q113" s="67"/>
    </row>
    <row r="114" spans="17:17" s="323" customFormat="1" x14ac:dyDescent="0.3">
      <c r="Q114" s="67"/>
    </row>
    <row r="115" spans="17:17" s="323" customFormat="1" x14ac:dyDescent="0.3">
      <c r="Q115" s="67"/>
    </row>
    <row r="116" spans="17:17" s="323" customFormat="1" x14ac:dyDescent="0.3">
      <c r="Q116" s="67"/>
    </row>
    <row r="117" spans="17:17" s="323" customFormat="1" x14ac:dyDescent="0.3">
      <c r="Q117" s="67"/>
    </row>
    <row r="118" spans="17:17" s="323" customFormat="1" x14ac:dyDescent="0.3">
      <c r="Q118" s="67"/>
    </row>
    <row r="119" spans="17:17" s="323" customFormat="1" x14ac:dyDescent="0.3">
      <c r="Q119" s="67"/>
    </row>
    <row r="120" spans="17:17" s="323" customFormat="1" x14ac:dyDescent="0.3">
      <c r="Q120" s="67"/>
    </row>
    <row r="121" spans="17:17" s="323" customFormat="1" x14ac:dyDescent="0.3">
      <c r="Q121" s="67"/>
    </row>
    <row r="122" spans="17:17" s="323" customFormat="1" x14ac:dyDescent="0.3">
      <c r="Q122" s="67"/>
    </row>
    <row r="123" spans="17:17" s="323" customFormat="1" x14ac:dyDescent="0.3">
      <c r="Q123" s="67"/>
    </row>
    <row r="124" spans="17:17" s="323" customFormat="1" x14ac:dyDescent="0.3">
      <c r="Q124" s="67"/>
    </row>
    <row r="125" spans="17:17" s="323" customFormat="1" x14ac:dyDescent="0.3">
      <c r="Q125" s="67"/>
    </row>
    <row r="126" spans="17:17" s="323" customFormat="1" x14ac:dyDescent="0.3">
      <c r="Q126" s="67"/>
    </row>
    <row r="127" spans="17:17" s="323" customFormat="1" x14ac:dyDescent="0.3">
      <c r="Q127" s="67"/>
    </row>
    <row r="128" spans="17:17" s="323" customFormat="1" x14ac:dyDescent="0.3">
      <c r="Q128" s="67"/>
    </row>
    <row r="129" spans="17:17" s="323" customFormat="1" x14ac:dyDescent="0.3">
      <c r="Q129" s="67"/>
    </row>
    <row r="130" spans="17:17" s="323" customFormat="1" x14ac:dyDescent="0.3">
      <c r="Q130" s="67"/>
    </row>
    <row r="131" spans="17:17" s="323" customFormat="1" x14ac:dyDescent="0.3">
      <c r="Q131" s="67"/>
    </row>
    <row r="132" spans="17:17" s="323" customFormat="1" x14ac:dyDescent="0.3">
      <c r="Q132" s="67"/>
    </row>
    <row r="133" spans="17:17" s="323" customFormat="1" x14ac:dyDescent="0.3">
      <c r="Q133" s="67"/>
    </row>
    <row r="134" spans="17:17" s="323" customFormat="1" x14ac:dyDescent="0.3">
      <c r="Q134" s="67"/>
    </row>
    <row r="135" spans="17:17" s="323" customFormat="1" x14ac:dyDescent="0.3">
      <c r="Q135" s="67"/>
    </row>
    <row r="136" spans="17:17" s="323" customFormat="1" x14ac:dyDescent="0.3">
      <c r="Q136" s="67"/>
    </row>
    <row r="137" spans="17:17" s="323" customFormat="1" x14ac:dyDescent="0.3">
      <c r="Q137" s="67"/>
    </row>
    <row r="138" spans="17:17" s="323" customFormat="1" x14ac:dyDescent="0.3">
      <c r="Q138" s="67"/>
    </row>
    <row r="139" spans="17:17" s="323" customFormat="1" x14ac:dyDescent="0.3">
      <c r="Q139" s="67"/>
    </row>
    <row r="140" spans="17:17" s="323" customFormat="1" x14ac:dyDescent="0.3">
      <c r="Q140" s="67"/>
    </row>
    <row r="141" spans="17:17" s="323" customFormat="1" x14ac:dyDescent="0.3">
      <c r="Q141" s="67"/>
    </row>
  </sheetData>
  <mergeCells count="3">
    <mergeCell ref="M26:N26"/>
    <mergeCell ref="J80:K80"/>
    <mergeCell ref="L4:N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AC58"/>
  <sheetViews>
    <sheetView workbookViewId="0">
      <selection activeCell="P10" sqref="P10"/>
    </sheetView>
  </sheetViews>
  <sheetFormatPr defaultColWidth="9" defaultRowHeight="15.6" x14ac:dyDescent="0.3"/>
  <cols>
    <col min="1" max="1" width="4" style="828" customWidth="1"/>
    <col min="2" max="2" width="2.59765625" style="824" customWidth="1"/>
    <col min="3" max="5" width="5.59765625" style="828" customWidth="1"/>
    <col min="6" max="7" width="9" style="828"/>
    <col min="8" max="8" width="6.19921875" style="828" customWidth="1"/>
    <col min="9" max="9" width="6.09765625" style="828" customWidth="1"/>
    <col min="10" max="10" width="5.59765625" style="828" hidden="1" customWidth="1"/>
    <col min="11" max="11" width="12.19921875" style="828" customWidth="1"/>
    <col min="12" max="12" width="9" style="828"/>
    <col min="13" max="13" width="5.69921875" style="828" customWidth="1"/>
    <col min="14" max="14" width="8.69921875" style="828" customWidth="1"/>
    <col min="15" max="15" width="11.09765625" style="828" customWidth="1"/>
    <col min="16" max="16" width="12.3984375" style="828" customWidth="1"/>
    <col min="17" max="17" width="2.69921875" style="828" customWidth="1"/>
    <col min="18" max="16384" width="9" style="828"/>
  </cols>
  <sheetData>
    <row r="1" spans="1:29" x14ac:dyDescent="0.3">
      <c r="B1" s="828"/>
    </row>
    <row r="2" spans="1:29" s="824" customFormat="1" ht="25.5" customHeight="1" x14ac:dyDescent="0.4">
      <c r="A2" s="828"/>
      <c r="B2" s="1362"/>
      <c r="C2" s="768" t="str">
        <f>Inicio!J6</f>
        <v>Estudante</v>
      </c>
      <c r="D2" s="768"/>
      <c r="E2" s="769"/>
      <c r="F2" s="768" t="s">
        <v>256</v>
      </c>
      <c r="G2" s="769"/>
      <c r="H2" s="769"/>
      <c r="I2" s="769"/>
      <c r="J2" s="769"/>
      <c r="K2" s="769"/>
      <c r="L2" s="769"/>
      <c r="M2" s="769"/>
      <c r="N2" s="769"/>
      <c r="O2" s="826"/>
      <c r="P2" s="826"/>
      <c r="Q2" s="826"/>
      <c r="R2" s="827"/>
      <c r="S2" s="827"/>
      <c r="T2" s="827"/>
      <c r="U2" s="828"/>
      <c r="V2" s="828"/>
      <c r="W2" s="828"/>
      <c r="X2" s="828"/>
      <c r="Y2" s="828"/>
      <c r="Z2" s="828"/>
      <c r="AA2" s="828"/>
      <c r="AB2" s="828"/>
      <c r="AC2" s="828"/>
    </row>
    <row r="3" spans="1:29" x14ac:dyDescent="0.3">
      <c r="Q3" s="826"/>
    </row>
    <row r="4" spans="1:29" x14ac:dyDescent="0.3">
      <c r="P4" s="1" t="s">
        <v>459</v>
      </c>
      <c r="Q4" s="826"/>
      <c r="R4" s="1" t="s">
        <v>322</v>
      </c>
    </row>
    <row r="5" spans="1:29" x14ac:dyDescent="0.3">
      <c r="O5" s="690" t="s">
        <v>321</v>
      </c>
      <c r="P5" s="878">
        <f>ROUND(3^0.5,4)</f>
        <v>1.7321</v>
      </c>
      <c r="Q5" s="826"/>
    </row>
    <row r="6" spans="1:29" x14ac:dyDescent="0.3">
      <c r="P6" s="829">
        <f>3^0.5</f>
        <v>1.7320508075688772</v>
      </c>
      <c r="Q6" s="826"/>
    </row>
    <row r="7" spans="1:29" x14ac:dyDescent="0.3">
      <c r="P7" s="829"/>
      <c r="Q7" s="826"/>
    </row>
    <row r="8" spans="1:29" ht="16.2" thickBot="1" x14ac:dyDescent="0.35">
      <c r="L8" s="828" t="s">
        <v>313</v>
      </c>
      <c r="N8" s="828" t="s">
        <v>312</v>
      </c>
      <c r="P8" s="829"/>
      <c r="Q8" s="826"/>
    </row>
    <row r="9" spans="1:29" ht="16.2" thickBot="1" x14ac:dyDescent="0.35">
      <c r="I9" s="858"/>
      <c r="J9" s="858"/>
      <c r="K9" s="858" t="s">
        <v>320</v>
      </c>
      <c r="L9" s="876">
        <f>L11/4</f>
        <v>4.5</v>
      </c>
      <c r="M9" s="858" t="s">
        <v>264</v>
      </c>
      <c r="N9" s="857">
        <f>L9/100</f>
        <v>4.4999999999999998E-2</v>
      </c>
      <c r="O9" s="877" t="s">
        <v>265</v>
      </c>
      <c r="P9" s="820"/>
      <c r="Q9" s="826"/>
    </row>
    <row r="10" spans="1:29" ht="16.2" thickBot="1" x14ac:dyDescent="0.35">
      <c r="K10" s="828" t="s">
        <v>309</v>
      </c>
      <c r="L10" s="830">
        <f>L12*3</f>
        <v>27</v>
      </c>
      <c r="M10" s="828" t="s">
        <v>264</v>
      </c>
      <c r="N10" s="831">
        <f t="shared" ref="N10:N12" si="0">L10/100</f>
        <v>0.27</v>
      </c>
      <c r="O10" s="832" t="s">
        <v>265</v>
      </c>
      <c r="P10"/>
      <c r="Q10" s="826"/>
    </row>
    <row r="11" spans="1:29" ht="16.2" thickBot="1" x14ac:dyDescent="0.35">
      <c r="I11" s="840"/>
      <c r="K11" s="828" t="s">
        <v>308</v>
      </c>
      <c r="L11" s="830">
        <f>L12*2</f>
        <v>18</v>
      </c>
      <c r="M11" s="828" t="s">
        <v>264</v>
      </c>
      <c r="N11" s="831">
        <f t="shared" si="0"/>
        <v>0.18</v>
      </c>
      <c r="O11" s="832" t="s">
        <v>265</v>
      </c>
      <c r="P11" s="829"/>
      <c r="Q11" s="826"/>
    </row>
    <row r="12" spans="1:29" ht="16.2" thickBot="1" x14ac:dyDescent="0.35">
      <c r="K12" s="1" t="s">
        <v>456</v>
      </c>
      <c r="L12" s="834">
        <v>9</v>
      </c>
      <c r="M12" s="828" t="s">
        <v>264</v>
      </c>
      <c r="N12" s="831">
        <f t="shared" si="0"/>
        <v>0.09</v>
      </c>
      <c r="O12" s="832" t="s">
        <v>265</v>
      </c>
      <c r="P12" s="829"/>
      <c r="Q12" s="826"/>
      <c r="S12" s="1" t="s">
        <v>284</v>
      </c>
    </row>
    <row r="13" spans="1:29" x14ac:dyDescent="0.3">
      <c r="J13" s="1498" t="s">
        <v>457</v>
      </c>
      <c r="K13" s="1499"/>
      <c r="L13" s="823">
        <v>1758</v>
      </c>
      <c r="M13" s="828" t="s">
        <v>270</v>
      </c>
      <c r="N13" s="831">
        <f>L13</f>
        <v>1758</v>
      </c>
      <c r="O13" s="832" t="str">
        <f>M13</f>
        <v>kg/m³</v>
      </c>
      <c r="P13" s="829"/>
      <c r="Q13" s="826"/>
    </row>
    <row r="14" spans="1:29" x14ac:dyDescent="0.3">
      <c r="J14" s="828" t="s">
        <v>304</v>
      </c>
      <c r="K14" s="1" t="s">
        <v>454</v>
      </c>
      <c r="L14" s="823">
        <v>9.8000000000000007</v>
      </c>
      <c r="N14" s="836">
        <f>L14</f>
        <v>9.8000000000000007</v>
      </c>
      <c r="O14" s="1" t="s">
        <v>319</v>
      </c>
      <c r="Q14" s="826"/>
    </row>
    <row r="15" spans="1:29" x14ac:dyDescent="0.3">
      <c r="C15" s="828" t="s">
        <v>266</v>
      </c>
      <c r="H15" s="838" t="str">
        <f>CONCATENATE(N10,"m x",N11,"m x",N12,"m     =  ")</f>
        <v xml:space="preserve">0,27m x0,18m x0,09m     =  </v>
      </c>
      <c r="I15" s="838"/>
      <c r="J15" s="838"/>
      <c r="K15" s="838"/>
      <c r="L15" s="839"/>
      <c r="M15" s="1500">
        <f>N10*N11*N12</f>
        <v>4.3740000000000003E-3</v>
      </c>
      <c r="N15" s="1500"/>
      <c r="O15" s="828" t="s">
        <v>263</v>
      </c>
      <c r="Q15" s="826"/>
    </row>
    <row r="16" spans="1:29" x14ac:dyDescent="0.3">
      <c r="C16" s="841" t="str">
        <f>CONCATENATE("2º Volume de ",L14,"milheiros=",L14*1000*M15)</f>
        <v>2º Volume de 9,8milheiros=42,8652</v>
      </c>
      <c r="D16" s="841"/>
      <c r="E16" s="841"/>
      <c r="F16" s="841"/>
      <c r="G16" s="841"/>
      <c r="H16" s="842" t="str">
        <f>CONCATENATE(L14*1000,"x",N10,"x",N11,"m x",N12,"m     =  ")</f>
        <v xml:space="preserve">9800x0,27x0,18m x0,09m     =  </v>
      </c>
      <c r="I16" s="842"/>
      <c r="J16" s="842"/>
      <c r="K16" s="842"/>
      <c r="L16" s="1516">
        <f>M15*L14*1000</f>
        <v>42.865200000000009</v>
      </c>
      <c r="M16" s="1516"/>
      <c r="N16" s="1516"/>
      <c r="O16" s="841" t="s">
        <v>263</v>
      </c>
      <c r="Q16" s="826"/>
      <c r="S16" s="1" t="s">
        <v>323</v>
      </c>
    </row>
    <row r="17" spans="2:19" ht="3.75" customHeight="1" x14ac:dyDescent="0.3">
      <c r="C17" s="857" t="str">
        <f>CONCATENATE("3º  Volume de 4 cilindros: 4 x( 3,14x(",ROUND(N9,4),"/2)² x ",N12,") = ")</f>
        <v xml:space="preserve">3º  Volume de 4 cilindros: 4 x( 3,14x(0,045/2)² x 0,09) = </v>
      </c>
      <c r="D17" s="857"/>
      <c r="E17" s="857"/>
      <c r="F17" s="857"/>
      <c r="G17" s="857"/>
      <c r="H17" s="857"/>
      <c r="I17" s="857"/>
      <c r="J17" s="857"/>
      <c r="K17" s="857"/>
      <c r="L17" s="857"/>
      <c r="M17" s="1517">
        <f>4*(3.14*(N9/2)^2*N12)</f>
        <v>5.7226499999999997E-4</v>
      </c>
      <c r="N17" s="1517"/>
      <c r="O17" s="858" t="s">
        <v>263</v>
      </c>
      <c r="Q17" s="826"/>
      <c r="S17" s="1"/>
    </row>
    <row r="18" spans="2:19" ht="10.5" customHeight="1" x14ac:dyDescent="0.3">
      <c r="C18" s="860" t="s">
        <v>314</v>
      </c>
      <c r="D18" s="860"/>
      <c r="E18" s="860"/>
      <c r="F18" s="860"/>
      <c r="G18" s="860"/>
      <c r="H18" s="860"/>
      <c r="I18" s="860"/>
      <c r="J18" s="860"/>
      <c r="K18" s="860"/>
      <c r="L18" s="859"/>
      <c r="M18" s="1518">
        <f>M15-M17</f>
        <v>3.8017350000000005E-3</v>
      </c>
      <c r="N18" s="1518"/>
      <c r="O18" s="860" t="s">
        <v>263</v>
      </c>
      <c r="Q18" s="826"/>
      <c r="R18" s="1" t="s">
        <v>323</v>
      </c>
      <c r="S18" s="1"/>
    </row>
    <row r="19" spans="2:19" x14ac:dyDescent="0.3">
      <c r="C19" s="1361" t="s">
        <v>330</v>
      </c>
      <c r="D19" s="1361"/>
      <c r="E19" s="1361"/>
      <c r="F19" s="1361"/>
      <c r="G19" s="1361"/>
      <c r="H19" s="1361"/>
      <c r="I19" s="1361"/>
      <c r="J19" s="1361"/>
      <c r="K19" s="1361"/>
      <c r="L19" s="1361"/>
      <c r="M19" s="1519">
        <f>L16*L13</f>
        <v>75357.021600000022</v>
      </c>
      <c r="N19" s="1519"/>
      <c r="O19" s="1361" t="s">
        <v>270</v>
      </c>
      <c r="P19" s="829"/>
      <c r="Q19" s="826"/>
    </row>
    <row r="20" spans="2:19" x14ac:dyDescent="0.3">
      <c r="C20" s="1361"/>
      <c r="D20" s="1361"/>
      <c r="E20" s="1361"/>
      <c r="F20" s="1361"/>
      <c r="G20" s="1361"/>
      <c r="H20" s="1361"/>
      <c r="I20" s="1361"/>
      <c r="J20" s="1361"/>
      <c r="K20" s="1361"/>
      <c r="L20" s="1361"/>
      <c r="M20" s="1515">
        <f>M19/1000</f>
        <v>75.357021600000024</v>
      </c>
      <c r="N20" s="1515"/>
      <c r="O20" s="1361" t="s">
        <v>316</v>
      </c>
      <c r="P20" s="829"/>
      <c r="Q20" s="826"/>
    </row>
    <row r="21" spans="2:19" x14ac:dyDescent="0.3">
      <c r="C21" s="824"/>
      <c r="D21" s="824"/>
      <c r="E21" s="824"/>
      <c r="F21" s="824"/>
      <c r="G21" s="824"/>
      <c r="H21" s="824"/>
      <c r="I21" s="824"/>
      <c r="J21" s="824"/>
      <c r="K21" s="824"/>
      <c r="L21" s="824"/>
      <c r="M21" s="824"/>
      <c r="N21" s="824"/>
      <c r="O21" s="824"/>
      <c r="P21" s="824"/>
      <c r="Q21" s="824"/>
    </row>
    <row r="22" spans="2:19" x14ac:dyDescent="0.3">
      <c r="B22" s="828"/>
      <c r="D22" s="1497"/>
      <c r="E22" s="1497"/>
      <c r="F22" s="1497"/>
      <c r="G22" s="1497"/>
    </row>
    <row r="23" spans="2:19" x14ac:dyDescent="0.3">
      <c r="B23" s="828"/>
    </row>
    <row r="24" spans="2:19" x14ac:dyDescent="0.3">
      <c r="B24" s="828"/>
    </row>
    <row r="25" spans="2:19" x14ac:dyDescent="0.3">
      <c r="B25" s="828"/>
      <c r="N25"/>
    </row>
    <row r="26" spans="2:19" x14ac:dyDescent="0.3">
      <c r="B26" s="828"/>
    </row>
    <row r="27" spans="2:19" x14ac:dyDescent="0.3">
      <c r="B27" s="828"/>
    </row>
    <row r="28" spans="2:19" x14ac:dyDescent="0.3">
      <c r="B28" s="828"/>
    </row>
    <row r="29" spans="2:19" x14ac:dyDescent="0.3">
      <c r="B29" s="828"/>
      <c r="L29" s="1" t="s">
        <v>323</v>
      </c>
    </row>
    <row r="30" spans="2:19" x14ac:dyDescent="0.3">
      <c r="B30" s="828"/>
    </row>
    <row r="31" spans="2:19" x14ac:dyDescent="0.3">
      <c r="B31" s="828"/>
    </row>
    <row r="32" spans="2:19" x14ac:dyDescent="0.3">
      <c r="B32" s="828"/>
    </row>
    <row r="33" spans="2:2" x14ac:dyDescent="0.3">
      <c r="B33" s="828"/>
    </row>
    <row r="34" spans="2:2" x14ac:dyDescent="0.3">
      <c r="B34" s="828"/>
    </row>
    <row r="35" spans="2:2" x14ac:dyDescent="0.3">
      <c r="B35" s="828"/>
    </row>
    <row r="36" spans="2:2" x14ac:dyDescent="0.3">
      <c r="B36" s="828"/>
    </row>
    <row r="37" spans="2:2" x14ac:dyDescent="0.3">
      <c r="B37" s="828"/>
    </row>
    <row r="38" spans="2:2" x14ac:dyDescent="0.3">
      <c r="B38" s="828"/>
    </row>
    <row r="39" spans="2:2" x14ac:dyDescent="0.3">
      <c r="B39" s="828"/>
    </row>
    <row r="40" spans="2:2" x14ac:dyDescent="0.3">
      <c r="B40" s="828"/>
    </row>
    <row r="41" spans="2:2" x14ac:dyDescent="0.3">
      <c r="B41" s="828"/>
    </row>
    <row r="42" spans="2:2" x14ac:dyDescent="0.3">
      <c r="B42" s="828"/>
    </row>
    <row r="43" spans="2:2" x14ac:dyDescent="0.3">
      <c r="B43" s="828"/>
    </row>
    <row r="44" spans="2:2" x14ac:dyDescent="0.3">
      <c r="B44" s="828"/>
    </row>
    <row r="45" spans="2:2" x14ac:dyDescent="0.3">
      <c r="B45" s="828"/>
    </row>
    <row r="46" spans="2:2" x14ac:dyDescent="0.3">
      <c r="B46" s="828"/>
    </row>
    <row r="47" spans="2:2" x14ac:dyDescent="0.3">
      <c r="B47" s="828"/>
    </row>
    <row r="48" spans="2:2" x14ac:dyDescent="0.3">
      <c r="B48" s="828"/>
    </row>
    <row r="49" spans="2:2" x14ac:dyDescent="0.3">
      <c r="B49" s="828"/>
    </row>
    <row r="50" spans="2:2" x14ac:dyDescent="0.3">
      <c r="B50" s="828"/>
    </row>
    <row r="51" spans="2:2" x14ac:dyDescent="0.3">
      <c r="B51" s="828"/>
    </row>
    <row r="52" spans="2:2" x14ac:dyDescent="0.3">
      <c r="B52" s="828"/>
    </row>
    <row r="53" spans="2:2" x14ac:dyDescent="0.3">
      <c r="B53" s="828"/>
    </row>
    <row r="54" spans="2:2" x14ac:dyDescent="0.3">
      <c r="B54" s="828"/>
    </row>
    <row r="55" spans="2:2" x14ac:dyDescent="0.3">
      <c r="B55" s="828"/>
    </row>
    <row r="56" spans="2:2" x14ac:dyDescent="0.3">
      <c r="B56" s="828"/>
    </row>
    <row r="57" spans="2:2" x14ac:dyDescent="0.3">
      <c r="B57" s="828"/>
    </row>
    <row r="58" spans="2:2" x14ac:dyDescent="0.3">
      <c r="B58" s="828"/>
    </row>
  </sheetData>
  <mergeCells count="8">
    <mergeCell ref="M20:N20"/>
    <mergeCell ref="D22:G22"/>
    <mergeCell ref="L16:N16"/>
    <mergeCell ref="J13:K13"/>
    <mergeCell ref="M15:N15"/>
    <mergeCell ref="M17:N17"/>
    <mergeCell ref="M18:N18"/>
    <mergeCell ref="M19:N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5124" r:id="rId4">
          <objectPr defaultSize="0" autoPict="0" r:id="rId5">
            <anchor moveWithCells="1">
              <from>
                <xdr:col>17</xdr:col>
                <xdr:colOff>38100</xdr:colOff>
                <xdr:row>3</xdr:row>
                <xdr:rowOff>152400</xdr:rowOff>
              </from>
              <to>
                <xdr:col>20</xdr:col>
                <xdr:colOff>411480</xdr:colOff>
                <xdr:row>9</xdr:row>
                <xdr:rowOff>76200</xdr:rowOff>
              </to>
            </anchor>
          </objectPr>
        </oleObject>
      </mc:Choice>
      <mc:Fallback>
        <oleObject progId="Equation.3" shapeId="5124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C7:M21"/>
  <sheetViews>
    <sheetView topLeftCell="A8" workbookViewId="0">
      <selection activeCell="N14" sqref="N14"/>
    </sheetView>
  </sheetViews>
  <sheetFormatPr defaultColWidth="9" defaultRowHeight="15.6" x14ac:dyDescent="0.3"/>
  <cols>
    <col min="1" max="2" width="9" style="686"/>
    <col min="3" max="3" width="3.69921875" style="686" customWidth="1"/>
    <col min="4" max="4" width="3.19921875" style="686" customWidth="1"/>
    <col min="5" max="5" width="13.8984375" style="686" customWidth="1"/>
    <col min="6" max="10" width="9" style="686"/>
    <col min="11" max="11" width="14.8984375" style="686" customWidth="1"/>
    <col min="12" max="12" width="3.8984375" style="686" customWidth="1"/>
    <col min="13" max="13" width="4.19921875" style="686" customWidth="1"/>
    <col min="14" max="16384" width="9" style="686"/>
  </cols>
  <sheetData>
    <row r="7" spans="3:13" ht="12.75" customHeight="1" x14ac:dyDescent="0.3"/>
    <row r="8" spans="3:13" x14ac:dyDescent="0.3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3">
      <c r="C9" s="1"/>
      <c r="M9" s="1"/>
    </row>
    <row r="10" spans="3:13" ht="18" x14ac:dyDescent="0.45">
      <c r="C10" s="1"/>
      <c r="E10" s="1258"/>
      <c r="F10" s="1258"/>
      <c r="G10" s="1258"/>
      <c r="H10" s="1258"/>
      <c r="I10" s="1"/>
      <c r="J10" s="1"/>
      <c r="K10" s="1"/>
      <c r="M10" s="1"/>
    </row>
    <row r="11" spans="3:13" ht="59.25" customHeight="1" x14ac:dyDescent="0.45">
      <c r="C11" s="1"/>
      <c r="E11" s="1258"/>
      <c r="F11" s="1259" t="s">
        <v>403</v>
      </c>
      <c r="G11" s="1259"/>
      <c r="H11" s="1259"/>
      <c r="I11" s="1259"/>
      <c r="J11" s="1"/>
      <c r="K11" s="1"/>
      <c r="M11" s="1"/>
    </row>
    <row r="12" spans="3:13" ht="28.2" x14ac:dyDescent="0.45">
      <c r="C12" s="1"/>
      <c r="E12" s="1258"/>
      <c r="F12" s="1259" t="s">
        <v>399</v>
      </c>
      <c r="G12" s="1259"/>
      <c r="H12" s="1259"/>
      <c r="I12" s="1259"/>
      <c r="J12" s="1"/>
      <c r="K12" s="1"/>
      <c r="M12" s="1"/>
    </row>
    <row r="13" spans="3:13" ht="28.2" x14ac:dyDescent="0.45">
      <c r="C13" s="1"/>
      <c r="E13" s="1258"/>
      <c r="F13" s="1260" t="s">
        <v>400</v>
      </c>
      <c r="G13" s="1"/>
      <c r="H13" s="1259"/>
      <c r="I13" s="1260" t="s">
        <v>401</v>
      </c>
      <c r="J13" s="1"/>
      <c r="K13" s="1"/>
      <c r="M13" s="1"/>
    </row>
    <row r="14" spans="3:13" ht="28.2" x14ac:dyDescent="0.45">
      <c r="C14" s="1"/>
      <c r="E14" s="1258"/>
      <c r="F14" s="1259" t="s">
        <v>402</v>
      </c>
      <c r="G14" s="1259"/>
      <c r="H14" s="1259"/>
      <c r="I14" s="1259"/>
      <c r="J14" s="1"/>
      <c r="K14" s="1"/>
      <c r="M14" s="1"/>
    </row>
    <row r="15" spans="3:13" ht="28.2" x14ac:dyDescent="0.45">
      <c r="C15" s="1"/>
      <c r="E15" s="1258"/>
      <c r="F15" s="1259"/>
      <c r="G15" s="1259"/>
      <c r="H15" s="1259"/>
      <c r="I15" s="1259"/>
      <c r="J15" s="1"/>
      <c r="K15" s="1"/>
      <c r="M15" s="1"/>
    </row>
    <row r="16" spans="3:13" ht="7.5" customHeight="1" x14ac:dyDescent="0.45">
      <c r="C16" s="1"/>
      <c r="E16" s="1258"/>
      <c r="F16" s="1259"/>
      <c r="G16" s="1259"/>
      <c r="H16" s="1259"/>
      <c r="I16" s="1259"/>
      <c r="J16" s="1"/>
      <c r="K16" s="1"/>
      <c r="M16" s="1"/>
    </row>
    <row r="17" spans="3:13" ht="7.5" customHeight="1" x14ac:dyDescent="0.45">
      <c r="C17" s="1"/>
      <c r="E17" s="1258"/>
      <c r="F17" s="1258"/>
      <c r="G17" s="1258"/>
      <c r="H17" s="1258"/>
      <c r="I17" s="1"/>
      <c r="J17" s="1"/>
      <c r="K17" s="1"/>
      <c r="M17" s="1"/>
    </row>
    <row r="18" spans="3:13" ht="7.5" customHeight="1" x14ac:dyDescent="0.3">
      <c r="C18" s="1"/>
      <c r="E18" s="1"/>
      <c r="F18" s="1"/>
      <c r="G18" s="1"/>
      <c r="H18" s="1"/>
      <c r="I18" s="1"/>
      <c r="J18" s="1"/>
      <c r="K18" s="1"/>
      <c r="M18" s="1"/>
    </row>
    <row r="19" spans="3:13" ht="15" customHeight="1" x14ac:dyDescent="0.3">
      <c r="C19" s="1"/>
      <c r="M19" s="1"/>
    </row>
    <row r="20" spans="3:13" ht="20.25" customHeight="1" x14ac:dyDescent="0.3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ht="18.75" customHeight="1" x14ac:dyDescent="0.3"/>
  </sheetData>
  <hyperlinks>
    <hyperlink ref="F13:I13" r:id="rId1" display="Instituição: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4"/>
  <dimension ref="B2:J21"/>
  <sheetViews>
    <sheetView workbookViewId="0">
      <selection activeCell="A19" sqref="A19"/>
    </sheetView>
  </sheetViews>
  <sheetFormatPr defaultColWidth="9" defaultRowHeight="15" x14ac:dyDescent="0.25"/>
  <cols>
    <col min="1" max="1" width="4.5" style="54" customWidth="1"/>
    <col min="2" max="16384" width="9" style="54"/>
  </cols>
  <sheetData>
    <row r="2" spans="2:10" x14ac:dyDescent="0.25">
      <c r="B2" s="678"/>
      <c r="C2" s="678"/>
      <c r="D2" s="678"/>
      <c r="E2" s="678"/>
      <c r="F2" s="678"/>
      <c r="G2" s="678"/>
      <c r="H2" s="678"/>
      <c r="I2" s="678"/>
      <c r="J2" s="678"/>
    </row>
    <row r="3" spans="2:10" x14ac:dyDescent="0.25">
      <c r="B3" s="678"/>
      <c r="C3" s="678"/>
      <c r="D3" s="678"/>
      <c r="E3" s="678"/>
      <c r="F3" s="678"/>
      <c r="G3" s="678"/>
      <c r="H3" s="678"/>
      <c r="I3" s="678"/>
      <c r="J3" s="678"/>
    </row>
    <row r="4" spans="2:10" x14ac:dyDescent="0.25">
      <c r="B4" s="678"/>
      <c r="C4" s="678"/>
      <c r="D4" s="678"/>
      <c r="E4" s="678"/>
      <c r="F4" s="678"/>
      <c r="G4" s="678"/>
      <c r="H4" s="678"/>
      <c r="I4" s="678"/>
      <c r="J4" s="678"/>
    </row>
    <row r="5" spans="2:10" x14ac:dyDescent="0.25">
      <c r="B5" s="678"/>
      <c r="C5" s="678"/>
      <c r="D5" s="678"/>
      <c r="E5" s="678"/>
      <c r="F5" s="678"/>
      <c r="G5" s="678"/>
      <c r="H5" s="678"/>
      <c r="I5" s="678"/>
      <c r="J5" s="678"/>
    </row>
    <row r="6" spans="2:10" x14ac:dyDescent="0.25">
      <c r="B6" s="678"/>
      <c r="C6" s="678"/>
      <c r="D6" s="678"/>
      <c r="E6" s="678"/>
      <c r="F6" s="678"/>
      <c r="G6" s="678"/>
      <c r="H6" s="678"/>
      <c r="I6" s="678"/>
      <c r="J6" s="678"/>
    </row>
    <row r="7" spans="2:10" x14ac:dyDescent="0.25">
      <c r="B7" s="678"/>
      <c r="C7" s="678"/>
      <c r="D7" s="678"/>
      <c r="E7" s="678"/>
      <c r="F7" s="678"/>
      <c r="G7" s="678"/>
      <c r="H7" s="678"/>
      <c r="I7" s="678"/>
      <c r="J7" s="678"/>
    </row>
    <row r="8" spans="2:10" x14ac:dyDescent="0.25">
      <c r="B8" s="678"/>
      <c r="C8" s="678"/>
      <c r="D8" s="678"/>
      <c r="E8" s="678"/>
      <c r="F8" s="678"/>
      <c r="G8" s="678"/>
      <c r="H8" s="678"/>
      <c r="I8" s="678"/>
      <c r="J8" s="678"/>
    </row>
    <row r="9" spans="2:10" x14ac:dyDescent="0.25">
      <c r="B9" s="678"/>
      <c r="C9" s="678"/>
      <c r="D9" s="678"/>
      <c r="E9" s="678"/>
      <c r="F9" s="678"/>
      <c r="G9" s="678"/>
      <c r="H9" s="678"/>
      <c r="I9" s="678"/>
      <c r="J9" s="678"/>
    </row>
    <row r="10" spans="2:10" x14ac:dyDescent="0.25">
      <c r="B10" s="678"/>
      <c r="C10" s="678"/>
      <c r="D10" s="678"/>
      <c r="E10" s="678" t="s">
        <v>216</v>
      </c>
      <c r="F10" s="678"/>
      <c r="G10" s="678"/>
      <c r="H10" s="678"/>
      <c r="I10" s="678"/>
      <c r="J10" s="678"/>
    </row>
    <row r="11" spans="2:10" x14ac:dyDescent="0.25">
      <c r="B11" s="678"/>
      <c r="C11" s="678"/>
      <c r="D11" s="678"/>
      <c r="E11" s="678"/>
      <c r="F11" s="678"/>
      <c r="G11" s="678"/>
      <c r="H11" s="678"/>
      <c r="I11" s="678"/>
      <c r="J11" s="678"/>
    </row>
    <row r="12" spans="2:10" x14ac:dyDescent="0.25">
      <c r="B12" s="678"/>
      <c r="C12" s="678"/>
      <c r="D12" s="678"/>
      <c r="E12" s="678"/>
      <c r="F12" s="678"/>
      <c r="G12" s="678"/>
      <c r="H12" s="678"/>
      <c r="I12" s="678"/>
      <c r="J12" s="678"/>
    </row>
    <row r="13" spans="2:10" x14ac:dyDescent="0.25">
      <c r="B13" s="678"/>
      <c r="C13" s="678"/>
      <c r="D13" s="678"/>
      <c r="E13" s="678"/>
      <c r="F13" s="678"/>
      <c r="G13" s="678"/>
      <c r="H13" s="678"/>
      <c r="I13" s="678"/>
      <c r="J13" s="678"/>
    </row>
    <row r="14" spans="2:10" x14ac:dyDescent="0.25">
      <c r="B14" s="678"/>
      <c r="C14" s="678"/>
      <c r="D14" s="678"/>
      <c r="E14" s="678"/>
      <c r="F14" s="678"/>
      <c r="G14" s="678"/>
      <c r="H14" s="678"/>
      <c r="I14" s="678"/>
      <c r="J14" s="678"/>
    </row>
    <row r="15" spans="2:10" x14ac:dyDescent="0.25">
      <c r="B15" s="678"/>
      <c r="C15" s="678"/>
      <c r="D15" s="678"/>
      <c r="E15" s="678"/>
      <c r="F15" s="678"/>
      <c r="G15" s="678"/>
      <c r="H15" s="678"/>
      <c r="I15" s="678"/>
      <c r="J15" s="678"/>
    </row>
    <row r="16" spans="2:10" x14ac:dyDescent="0.25">
      <c r="B16" s="678"/>
      <c r="C16" s="678"/>
      <c r="D16" s="678"/>
      <c r="E16" s="678"/>
      <c r="F16" s="678"/>
      <c r="G16" s="678"/>
      <c r="H16" s="678"/>
      <c r="I16" s="678"/>
      <c r="J16" s="678"/>
    </row>
    <row r="17" spans="2:10" x14ac:dyDescent="0.25">
      <c r="B17" s="678"/>
      <c r="C17" s="678"/>
      <c r="D17" s="678"/>
      <c r="E17" s="678"/>
      <c r="F17" s="678"/>
      <c r="G17" s="678"/>
      <c r="H17" s="678"/>
      <c r="I17" s="678"/>
      <c r="J17" s="678"/>
    </row>
    <row r="18" spans="2:10" x14ac:dyDescent="0.25">
      <c r="B18" s="678"/>
      <c r="C18" s="678"/>
      <c r="D18" s="678"/>
      <c r="E18" s="678"/>
      <c r="F18" s="678"/>
      <c r="G18" s="678"/>
      <c r="H18" s="678"/>
      <c r="I18" s="678"/>
      <c r="J18" s="678"/>
    </row>
    <row r="19" spans="2:10" x14ac:dyDescent="0.25">
      <c r="B19" s="678"/>
      <c r="C19" s="678"/>
      <c r="D19" s="678"/>
      <c r="E19" s="678"/>
      <c r="F19" s="678"/>
      <c r="G19" s="678"/>
      <c r="H19" s="678"/>
      <c r="I19" s="678"/>
      <c r="J19" s="678"/>
    </row>
    <row r="20" spans="2:10" x14ac:dyDescent="0.25">
      <c r="B20" s="678"/>
      <c r="C20" s="678"/>
      <c r="D20" s="678"/>
      <c r="E20" s="678"/>
      <c r="F20" s="678"/>
      <c r="G20" s="678"/>
      <c r="H20" s="678"/>
      <c r="I20" s="678"/>
      <c r="J20" s="678"/>
    </row>
    <row r="21" spans="2:10" x14ac:dyDescent="0.25">
      <c r="B21" s="678"/>
      <c r="C21" s="678"/>
      <c r="D21" s="678"/>
      <c r="E21" s="678"/>
      <c r="F21" s="678"/>
      <c r="G21" s="678"/>
      <c r="H21" s="678"/>
      <c r="I21" s="678"/>
      <c r="J21" s="678"/>
    </row>
  </sheetData>
  <pageMargins left="0.511811024" right="0.511811024" top="0.78740157499999996" bottom="0.78740157499999996" header="0.31496062000000002" footer="0.3149606200000000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5"/>
  <dimension ref="A1"/>
  <sheetViews>
    <sheetView workbookViewId="0"/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6"/>
  <dimension ref="A1"/>
  <sheetViews>
    <sheetView workbookViewId="0"/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7"/>
  <dimension ref="A1"/>
  <sheetViews>
    <sheetView workbookViewId="0">
      <selection activeCell="M24" sqref="A24:M25"/>
    </sheetView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"/>
  <sheetViews>
    <sheetView workbookViewId="0"/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9"/>
  <dimension ref="A1"/>
  <sheetViews>
    <sheetView workbookViewId="0"/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"/>
  <sheetViews>
    <sheetView workbookViewId="0">
      <selection activeCell="P22" sqref="P22"/>
    </sheetView>
  </sheetViews>
  <sheetFormatPr defaultRowHeight="15.6" x14ac:dyDescent="0.3"/>
  <sheetData/>
  <pageMargins left="0.511811024" right="0.511811024" top="0.78740157499999996" bottom="0.78740157499999996" header="0.31496062000000002" footer="0.3149606200000000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1"/>
  <dimension ref="A1:D10"/>
  <sheetViews>
    <sheetView zoomScale="84" zoomScaleNormal="84" workbookViewId="0">
      <selection activeCell="H16" sqref="H16"/>
    </sheetView>
  </sheetViews>
  <sheetFormatPr defaultRowHeight="15.6" x14ac:dyDescent="0.3"/>
  <cols>
    <col min="1" max="1" width="37.59765625" customWidth="1"/>
  </cols>
  <sheetData>
    <row r="1" spans="1:4" x14ac:dyDescent="0.3">
      <c r="A1" t="s">
        <v>29</v>
      </c>
      <c r="B1" t="s">
        <v>202</v>
      </c>
    </row>
    <row r="2" spans="1:4" x14ac:dyDescent="0.3">
      <c r="A2" s="1101">
        <f>LEN(Inicio!J6)</f>
        <v>9</v>
      </c>
      <c r="B2" s="1101" t="str">
        <f>RIGHT(Inicio!J8,5)</f>
        <v>23456</v>
      </c>
      <c r="C2" s="1101">
        <f>VALUE(B2)</f>
        <v>23456</v>
      </c>
      <c r="D2" s="1101"/>
    </row>
    <row r="3" spans="1:4" x14ac:dyDescent="0.3">
      <c r="A3" s="1101">
        <f>A2+10</f>
        <v>19</v>
      </c>
      <c r="B3" s="1101">
        <f>CONCATENATE(LEFT(B2,1),RIGHT(B2,1))+19</f>
        <v>45</v>
      </c>
      <c r="C3" s="1101">
        <f t="shared" ref="C3:C8" si="0">VALUE(B3)</f>
        <v>45</v>
      </c>
      <c r="D3" s="1101"/>
    </row>
    <row r="4" spans="1:4" x14ac:dyDescent="0.3">
      <c r="A4" s="1101">
        <f>A2+0.8</f>
        <v>9.8000000000000007</v>
      </c>
      <c r="B4" s="1101">
        <f>CONCATENATE(RIGHT(B2,2))+33</f>
        <v>89</v>
      </c>
      <c r="C4" s="1101">
        <f t="shared" si="0"/>
        <v>89</v>
      </c>
      <c r="D4" s="1101"/>
    </row>
    <row r="5" spans="1:4" x14ac:dyDescent="0.3">
      <c r="A5" s="1101">
        <f>A2/20</f>
        <v>0.45</v>
      </c>
      <c r="B5" s="1101">
        <f>CONCATENATE(LEFT(B2,2),RIGHT(B2,1))+77</f>
        <v>313</v>
      </c>
      <c r="C5" s="1101">
        <f t="shared" si="0"/>
        <v>313</v>
      </c>
      <c r="D5" s="1101"/>
    </row>
    <row r="6" spans="1:4" x14ac:dyDescent="0.3">
      <c r="A6" s="1101">
        <f>(A2+5)/100</f>
        <v>0.14000000000000001</v>
      </c>
      <c r="B6" s="1101">
        <f>CONCATENATE(RIGHT(B2,1),LEFT(B2,2))+27</f>
        <v>650</v>
      </c>
      <c r="C6" s="1101">
        <f t="shared" si="0"/>
        <v>650</v>
      </c>
      <c r="D6" s="1101"/>
    </row>
    <row r="7" spans="1:4" x14ac:dyDescent="0.3">
      <c r="A7" s="1101">
        <f>(A3+5)/100</f>
        <v>0.24</v>
      </c>
      <c r="B7" s="1101">
        <f>CONCATENATE(RIGHT(B4,5),LEFT(B2,2))+3</f>
        <v>8926</v>
      </c>
      <c r="C7" s="1101">
        <f t="shared" si="0"/>
        <v>8926</v>
      </c>
      <c r="D7" s="1101"/>
    </row>
    <row r="8" spans="1:4" x14ac:dyDescent="0.3">
      <c r="A8" s="1101">
        <f>(A4+5)/100</f>
        <v>0.14800000000000002</v>
      </c>
      <c r="B8" s="1101">
        <f>CONCATENATE(LEFT(B2,1),RIGHT(B2,3))+11</f>
        <v>2467</v>
      </c>
      <c r="C8" s="1101">
        <f t="shared" si="0"/>
        <v>2467</v>
      </c>
      <c r="D8" s="1101"/>
    </row>
    <row r="9" spans="1:4" x14ac:dyDescent="0.3">
      <c r="A9" s="1101">
        <f>(A5+5)/100</f>
        <v>5.45E-2</v>
      </c>
      <c r="B9" s="1101"/>
      <c r="C9" s="1101">
        <f>VALUE(CONCATENATE(LEFT(B6,2)))</f>
        <v>65</v>
      </c>
      <c r="D9" s="1101"/>
    </row>
    <row r="10" spans="1:4" x14ac:dyDescent="0.3">
      <c r="C10" s="1101">
        <f>SUM(C2:C9)</f>
        <v>36011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AC152"/>
  <sheetViews>
    <sheetView topLeftCell="A2" workbookViewId="0">
      <selection activeCell="K10" sqref="K10"/>
    </sheetView>
  </sheetViews>
  <sheetFormatPr defaultColWidth="9" defaultRowHeight="15.6" x14ac:dyDescent="0.3"/>
  <cols>
    <col min="1" max="1" width="3" style="828" customWidth="1"/>
    <col min="2" max="2" width="2.59765625" style="824" customWidth="1"/>
    <col min="3" max="5" width="5.59765625" style="828" customWidth="1"/>
    <col min="6" max="7" width="9" style="828"/>
    <col min="8" max="8" width="6.19921875" style="828" customWidth="1"/>
    <col min="9" max="9" width="6.09765625" style="828" customWidth="1"/>
    <col min="10" max="10" width="5.59765625" style="828" hidden="1" customWidth="1"/>
    <col min="11" max="11" width="12.19921875" style="837" customWidth="1"/>
    <col min="12" max="12" width="9" style="828"/>
    <col min="13" max="13" width="5.69921875" style="828" customWidth="1"/>
    <col min="14" max="14" width="8.69921875" style="828" customWidth="1"/>
    <col min="15" max="15" width="11.09765625" style="828" customWidth="1"/>
    <col min="16" max="16" width="12.3984375" style="828" customWidth="1"/>
    <col min="17" max="17" width="2.69921875" style="828" customWidth="1"/>
    <col min="18" max="16384" width="9" style="828"/>
  </cols>
  <sheetData>
    <row r="1" spans="1:29" x14ac:dyDescent="0.3">
      <c r="B1" s="828"/>
      <c r="K1" s="1247"/>
    </row>
    <row r="2" spans="1:29" s="1363" customFormat="1" ht="25.5" customHeight="1" x14ac:dyDescent="0.35">
      <c r="A2" s="1023"/>
      <c r="C2" s="923" t="str">
        <f>Inicio!J6</f>
        <v>Estudante</v>
      </c>
      <c r="D2" s="923"/>
      <c r="E2" s="1022"/>
      <c r="F2" s="923" t="s">
        <v>256</v>
      </c>
      <c r="G2" s="1022"/>
      <c r="H2" s="1022"/>
      <c r="I2" s="1022"/>
      <c r="J2" s="1022"/>
      <c r="K2" s="1364"/>
      <c r="L2" s="1022"/>
      <c r="M2" s="1022"/>
      <c r="N2" s="1022"/>
      <c r="O2" s="1022" t="str">
        <f>CONCATENATE("6º Peso(massa) de 1 tijolo real(vazado)  x ",L14*1000,"=")</f>
        <v>6º Peso(massa) de 1 tijolo real(vazado)  x 3000=</v>
      </c>
      <c r="P2" s="1022"/>
      <c r="Q2" s="1022"/>
      <c r="R2" s="1088"/>
      <c r="S2" s="1088"/>
      <c r="T2" s="1088"/>
      <c r="U2" s="1023"/>
      <c r="V2" s="1023"/>
      <c r="W2" s="1023"/>
      <c r="X2" s="1023"/>
      <c r="Y2" s="1023"/>
      <c r="Z2" s="1023"/>
      <c r="AA2" s="1023"/>
      <c r="AB2" s="1023"/>
      <c r="AC2" s="1023"/>
    </row>
    <row r="3" spans="1:29" x14ac:dyDescent="0.3">
      <c r="Q3" s="826"/>
    </row>
    <row r="4" spans="1:29" x14ac:dyDescent="0.3">
      <c r="Q4" s="826"/>
      <c r="R4" s="1" t="s">
        <v>322</v>
      </c>
    </row>
    <row r="5" spans="1:29" x14ac:dyDescent="0.3">
      <c r="O5" s="882" t="s">
        <v>321</v>
      </c>
      <c r="P5" s="894">
        <f>ROUND(3^0.5,4)</f>
        <v>1.7321</v>
      </c>
      <c r="Q5" s="826"/>
    </row>
    <row r="6" spans="1:29" x14ac:dyDescent="0.3">
      <c r="O6" s="821" t="s">
        <v>3</v>
      </c>
      <c r="P6" s="829">
        <f>3^0.5</f>
        <v>1.7320508075688772</v>
      </c>
      <c r="Q6" s="826"/>
    </row>
    <row r="7" spans="1:29" x14ac:dyDescent="0.3">
      <c r="P7" s="829"/>
      <c r="Q7" s="826"/>
    </row>
    <row r="8" spans="1:29" x14ac:dyDescent="0.3">
      <c r="L8" s="828" t="s">
        <v>313</v>
      </c>
      <c r="N8" s="1" t="s">
        <v>312</v>
      </c>
      <c r="P8" s="829"/>
      <c r="Q8" s="826"/>
      <c r="R8" s="1"/>
    </row>
    <row r="9" spans="1:29" x14ac:dyDescent="0.3">
      <c r="I9" s="858"/>
      <c r="J9" s="858"/>
      <c r="K9" s="884"/>
      <c r="L9" s="899">
        <f>P6</f>
        <v>1.7320508075688772</v>
      </c>
      <c r="M9" s="871"/>
      <c r="N9" s="891">
        <f>P5</f>
        <v>1.7321</v>
      </c>
      <c r="O9" s="877" t="s">
        <v>265</v>
      </c>
      <c r="P9" s="820"/>
      <c r="Q9" s="826"/>
    </row>
    <row r="10" spans="1:29" x14ac:dyDescent="0.3">
      <c r="K10" s="837" t="s">
        <v>309</v>
      </c>
      <c r="L10" s="890">
        <f>3*L12</f>
        <v>21</v>
      </c>
      <c r="M10" s="828" t="s">
        <v>264</v>
      </c>
      <c r="N10" s="892">
        <f t="shared" ref="N10:N12" si="0">L10/100</f>
        <v>0.21</v>
      </c>
      <c r="O10" s="832" t="s">
        <v>265</v>
      </c>
      <c r="P10"/>
      <c r="Q10" s="826"/>
    </row>
    <row r="11" spans="1:29" x14ac:dyDescent="0.3">
      <c r="I11" s="840"/>
      <c r="K11" s="837" t="s">
        <v>308</v>
      </c>
      <c r="L11" s="890">
        <f>2*L12</f>
        <v>14</v>
      </c>
      <c r="M11" s="828" t="s">
        <v>264</v>
      </c>
      <c r="N11" s="892">
        <f t="shared" si="0"/>
        <v>0.14000000000000001</v>
      </c>
      <c r="O11" s="832" t="s">
        <v>265</v>
      </c>
      <c r="P11" s="829"/>
      <c r="Q11" s="826"/>
    </row>
    <row r="12" spans="1:29" x14ac:dyDescent="0.3">
      <c r="K12" s="821" t="s">
        <v>456</v>
      </c>
      <c r="L12" s="890">
        <v>7</v>
      </c>
      <c r="M12" s="828" t="s">
        <v>264</v>
      </c>
      <c r="N12" s="892">
        <f t="shared" si="0"/>
        <v>7.0000000000000007E-2</v>
      </c>
      <c r="O12" s="832" t="s">
        <v>265</v>
      </c>
      <c r="P12" s="911" t="s">
        <v>284</v>
      </c>
      <c r="Q12" s="826"/>
      <c r="S12" s="1" t="s">
        <v>284</v>
      </c>
    </row>
    <row r="13" spans="1:29" x14ac:dyDescent="0.3">
      <c r="J13" s="1522" t="s">
        <v>460</v>
      </c>
      <c r="K13" s="1523"/>
      <c r="L13" s="889">
        <v>1744</v>
      </c>
      <c r="M13" s="828" t="s">
        <v>270</v>
      </c>
      <c r="N13" s="892">
        <f>L13</f>
        <v>1744</v>
      </c>
      <c r="O13" s="832" t="str">
        <f>M13</f>
        <v>kg/m³</v>
      </c>
      <c r="P13" s="910"/>
      <c r="Q13" s="826"/>
    </row>
    <row r="14" spans="1:29" x14ac:dyDescent="0.3">
      <c r="J14" s="828" t="s">
        <v>304</v>
      </c>
      <c r="K14" s="821" t="s">
        <v>461</v>
      </c>
      <c r="L14" s="889">
        <v>3</v>
      </c>
      <c r="M14" s="1" t="s">
        <v>306</v>
      </c>
      <c r="N14" s="893">
        <f>L14</f>
        <v>3</v>
      </c>
      <c r="O14" s="1" t="s">
        <v>319</v>
      </c>
      <c r="P14" s="909" t="s">
        <v>324</v>
      </c>
      <c r="Q14" s="826"/>
    </row>
    <row r="15" spans="1:29" x14ac:dyDescent="0.3">
      <c r="C15" s="881" t="s">
        <v>327</v>
      </c>
      <c r="D15" s="864"/>
      <c r="E15" s="864"/>
      <c r="F15" s="864"/>
      <c r="G15" s="864"/>
      <c r="H15" s="865" t="str">
        <f>CONCATENATE(N10,"m x",N11,"m x",N12,"m     =  ")</f>
        <v xml:space="preserve">0,21m x0,14m x0,07m     =  </v>
      </c>
      <c r="I15" s="865"/>
      <c r="J15" s="865"/>
      <c r="K15" s="885"/>
      <c r="L15" s="866"/>
      <c r="M15" s="1524">
        <f>N10*N11*N12</f>
        <v>2.0580000000000004E-3</v>
      </c>
      <c r="N15" s="1524"/>
      <c r="O15" s="864" t="s">
        <v>263</v>
      </c>
      <c r="P15" s="1" t="s">
        <v>324</v>
      </c>
      <c r="Q15" s="826"/>
    </row>
    <row r="16" spans="1:29" x14ac:dyDescent="0.3">
      <c r="C16" s="879" t="str">
        <f>CONCATENATE("2º  Volume  do espaço de 3 cilindros de 1 tijolo : 3x",N12," [1,7321x(",N11, ")² ]/64 =")</f>
        <v>2º  Volume  do espaço de 3 cilindros de 1 tijolo : 3x0,07 [1,7321x(0,14)² ]/64 =</v>
      </c>
      <c r="D16" s="879"/>
      <c r="E16" s="879"/>
      <c r="F16" s="879"/>
      <c r="G16" s="879"/>
      <c r="H16" s="879"/>
      <c r="I16" s="879"/>
      <c r="J16" s="879"/>
      <c r="K16" s="886"/>
      <c r="L16" s="879"/>
      <c r="M16" s="1526">
        <f>3*N12*P5*N11^2/64</f>
        <v>1.1139568125000003E-4</v>
      </c>
      <c r="N16" s="1526"/>
      <c r="O16" s="880" t="s">
        <v>263</v>
      </c>
      <c r="P16" s="872"/>
      <c r="Q16" s="826"/>
    </row>
    <row r="17" spans="2:19" ht="18" x14ac:dyDescent="0.35">
      <c r="C17" s="895" t="s">
        <v>325</v>
      </c>
      <c r="D17" s="895"/>
      <c r="E17" s="895"/>
      <c r="F17" s="895"/>
      <c r="G17" s="895"/>
      <c r="H17" s="895"/>
      <c r="I17" s="895"/>
      <c r="J17" s="895"/>
      <c r="K17" s="896"/>
      <c r="L17" s="897"/>
      <c r="M17" s="1527">
        <f>M15-M16</f>
        <v>1.9466043187500004E-3</v>
      </c>
      <c r="N17" s="1527"/>
      <c r="O17" s="895" t="s">
        <v>263</v>
      </c>
      <c r="P17" s="841"/>
      <c r="Q17" s="826"/>
      <c r="S17" s="1"/>
    </row>
    <row r="18" spans="2:19" ht="16.5" customHeight="1" x14ac:dyDescent="0.3">
      <c r="C18" s="902" t="s">
        <v>326</v>
      </c>
      <c r="D18" s="903"/>
      <c r="E18" s="903"/>
      <c r="F18" s="903"/>
      <c r="G18" s="903"/>
      <c r="H18" s="903"/>
      <c r="I18" s="903"/>
      <c r="J18" s="903"/>
      <c r="K18" s="904">
        <f>M15</f>
        <v>2.0580000000000004E-3</v>
      </c>
      <c r="L18" s="903" t="str">
        <f>CONCATENATE("x",N13,"=")</f>
        <v>x1744=</v>
      </c>
      <c r="M18" s="1521">
        <f>M17*L13</f>
        <v>3.3948779319000004</v>
      </c>
      <c r="N18" s="1521"/>
      <c r="O18" s="903"/>
      <c r="P18" s="903"/>
      <c r="Q18" s="826"/>
      <c r="S18" s="1"/>
    </row>
    <row r="19" spans="2:19" x14ac:dyDescent="0.3">
      <c r="C19" s="1" t="s">
        <v>329</v>
      </c>
      <c r="E19" s="839">
        <f>L14</f>
        <v>3</v>
      </c>
      <c r="F19" s="1" t="s">
        <v>328</v>
      </c>
      <c r="L19" s="828">
        <f>E19*1000</f>
        <v>3000</v>
      </c>
      <c r="M19" s="1520">
        <f>M15*L19</f>
        <v>6.1740000000000013</v>
      </c>
      <c r="N19" s="1520"/>
      <c r="O19" s="1" t="s">
        <v>263</v>
      </c>
      <c r="Q19" s="826"/>
    </row>
    <row r="20" spans="2:19" x14ac:dyDescent="0.3">
      <c r="C20" s="905" t="str">
        <f>CONCATENATE("6º peso(massa) de ",L14*1000," tijolos vazados=",L14*1000,"x ", ROUND(M18,5),"=",ROUND(1000*L14*M18, 2),"kg =",ROUND(L14*M18, 5),"toneladas")</f>
        <v>6º peso(massa) de 3000 tijolos vazados=3000x 3,39488=10184,63kg =10,18463toneladas</v>
      </c>
      <c r="D20" s="846"/>
      <c r="E20" s="846"/>
      <c r="F20" s="846"/>
      <c r="G20" s="846"/>
      <c r="H20" s="846"/>
      <c r="I20" s="846"/>
      <c r="J20" s="846"/>
      <c r="K20" s="887"/>
      <c r="L20" s="1119"/>
      <c r="M20" s="906"/>
      <c r="N20" s="907"/>
      <c r="O20" s="1119">
        <f>M18*L14</f>
        <v>10.184633795700002</v>
      </c>
      <c r="P20" s="773" t="s">
        <v>414</v>
      </c>
      <c r="Q20" s="826"/>
    </row>
    <row r="21" spans="2:19" x14ac:dyDescent="0.3">
      <c r="C21" s="824"/>
      <c r="D21" s="824"/>
      <c r="E21" s="824"/>
      <c r="F21" s="824"/>
      <c r="G21" s="824"/>
      <c r="H21" s="824"/>
      <c r="I21" s="824"/>
      <c r="J21" s="824"/>
      <c r="K21" s="888"/>
      <c r="L21" s="824"/>
      <c r="M21" s="824"/>
      <c r="N21" s="824"/>
      <c r="O21" s="824"/>
      <c r="P21" s="824"/>
      <c r="Q21" s="824"/>
    </row>
    <row r="22" spans="2:19" x14ac:dyDescent="0.3">
      <c r="B22" s="828"/>
      <c r="H22" s="838"/>
      <c r="I22" s="838"/>
      <c r="J22" s="838"/>
      <c r="L22" s="1525"/>
      <c r="M22" s="1525"/>
      <c r="N22" s="1525"/>
    </row>
    <row r="23" spans="2:19" x14ac:dyDescent="0.3">
      <c r="B23" s="828"/>
      <c r="M23" s="1120" t="s">
        <v>415</v>
      </c>
    </row>
    <row r="24" spans="2:19" x14ac:dyDescent="0.3">
      <c r="B24" s="828"/>
    </row>
    <row r="25" spans="2:19" x14ac:dyDescent="0.3">
      <c r="B25" s="828"/>
      <c r="N25"/>
    </row>
    <row r="26" spans="2:19" x14ac:dyDescent="0.3">
      <c r="B26" s="828"/>
    </row>
    <row r="27" spans="2:19" x14ac:dyDescent="0.3">
      <c r="B27" s="828"/>
    </row>
    <row r="28" spans="2:19" x14ac:dyDescent="0.3">
      <c r="B28" s="828"/>
    </row>
    <row r="29" spans="2:19" x14ac:dyDescent="0.3">
      <c r="B29" s="828"/>
      <c r="L29" s="1" t="s">
        <v>323</v>
      </c>
    </row>
    <row r="30" spans="2:19" x14ac:dyDescent="0.3">
      <c r="B30" s="828"/>
    </row>
    <row r="31" spans="2:19" x14ac:dyDescent="0.3">
      <c r="B31" s="828"/>
    </row>
    <row r="32" spans="2:19" x14ac:dyDescent="0.3">
      <c r="B32" s="828"/>
    </row>
    <row r="33" spans="2:2" x14ac:dyDescent="0.3">
      <c r="B33" s="828"/>
    </row>
    <row r="34" spans="2:2" x14ac:dyDescent="0.3">
      <c r="B34" s="828"/>
    </row>
    <row r="35" spans="2:2" x14ac:dyDescent="0.3">
      <c r="B35" s="828"/>
    </row>
    <row r="36" spans="2:2" x14ac:dyDescent="0.3">
      <c r="B36" s="828"/>
    </row>
    <row r="37" spans="2:2" x14ac:dyDescent="0.3">
      <c r="B37" s="828"/>
    </row>
    <row r="38" spans="2:2" x14ac:dyDescent="0.3">
      <c r="B38" s="828"/>
    </row>
    <row r="39" spans="2:2" x14ac:dyDescent="0.3">
      <c r="B39" s="828"/>
    </row>
    <row r="40" spans="2:2" x14ac:dyDescent="0.3">
      <c r="B40" s="828"/>
    </row>
    <row r="41" spans="2:2" x14ac:dyDescent="0.3">
      <c r="B41" s="828"/>
    </row>
    <row r="42" spans="2:2" x14ac:dyDescent="0.3">
      <c r="B42" s="828"/>
    </row>
    <row r="43" spans="2:2" x14ac:dyDescent="0.3">
      <c r="B43" s="828"/>
    </row>
    <row r="44" spans="2:2" x14ac:dyDescent="0.3">
      <c r="B44" s="828"/>
    </row>
    <row r="45" spans="2:2" x14ac:dyDescent="0.3">
      <c r="B45" s="828"/>
    </row>
    <row r="46" spans="2:2" x14ac:dyDescent="0.3">
      <c r="B46" s="828"/>
    </row>
    <row r="47" spans="2:2" x14ac:dyDescent="0.3">
      <c r="B47" s="828"/>
    </row>
    <row r="48" spans="2:2" x14ac:dyDescent="0.3">
      <c r="B48" s="828"/>
    </row>
    <row r="49" spans="2:2" x14ac:dyDescent="0.3">
      <c r="B49" s="828"/>
    </row>
    <row r="50" spans="2:2" x14ac:dyDescent="0.3">
      <c r="B50" s="828"/>
    </row>
    <row r="51" spans="2:2" x14ac:dyDescent="0.3">
      <c r="B51" s="828"/>
    </row>
    <row r="52" spans="2:2" x14ac:dyDescent="0.3">
      <c r="B52" s="828"/>
    </row>
    <row r="53" spans="2:2" x14ac:dyDescent="0.3">
      <c r="B53" s="828"/>
    </row>
    <row r="54" spans="2:2" x14ac:dyDescent="0.3">
      <c r="B54" s="828"/>
    </row>
    <row r="55" spans="2:2" x14ac:dyDescent="0.3">
      <c r="B55" s="828"/>
    </row>
    <row r="56" spans="2:2" x14ac:dyDescent="0.3">
      <c r="B56" s="828"/>
    </row>
    <row r="57" spans="2:2" x14ac:dyDescent="0.3">
      <c r="B57" s="828"/>
    </row>
    <row r="58" spans="2:2" x14ac:dyDescent="0.3">
      <c r="B58" s="828"/>
    </row>
    <row r="59" spans="2:2" x14ac:dyDescent="0.3">
      <c r="B59" s="828"/>
    </row>
    <row r="60" spans="2:2" x14ac:dyDescent="0.3">
      <c r="B60" s="828"/>
    </row>
    <row r="61" spans="2:2" x14ac:dyDescent="0.3">
      <c r="B61" s="828"/>
    </row>
    <row r="62" spans="2:2" x14ac:dyDescent="0.3">
      <c r="B62" s="828"/>
    </row>
    <row r="63" spans="2:2" x14ac:dyDescent="0.3">
      <c r="B63" s="828"/>
    </row>
    <row r="64" spans="2:2" x14ac:dyDescent="0.3">
      <c r="B64" s="828"/>
    </row>
    <row r="65" spans="2:2" x14ac:dyDescent="0.3">
      <c r="B65" s="828"/>
    </row>
    <row r="66" spans="2:2" x14ac:dyDescent="0.3">
      <c r="B66" s="828"/>
    </row>
    <row r="67" spans="2:2" x14ac:dyDescent="0.3">
      <c r="B67" s="828"/>
    </row>
    <row r="68" spans="2:2" x14ac:dyDescent="0.3">
      <c r="B68" s="828"/>
    </row>
    <row r="69" spans="2:2" x14ac:dyDescent="0.3">
      <c r="B69" s="828"/>
    </row>
    <row r="70" spans="2:2" x14ac:dyDescent="0.3">
      <c r="B70" s="828"/>
    </row>
    <row r="71" spans="2:2" x14ac:dyDescent="0.3">
      <c r="B71" s="828"/>
    </row>
    <row r="72" spans="2:2" x14ac:dyDescent="0.3">
      <c r="B72" s="828"/>
    </row>
    <row r="73" spans="2:2" x14ac:dyDescent="0.3">
      <c r="B73" s="828"/>
    </row>
    <row r="74" spans="2:2" x14ac:dyDescent="0.3">
      <c r="B74" s="828"/>
    </row>
    <row r="75" spans="2:2" x14ac:dyDescent="0.3">
      <c r="B75" s="828"/>
    </row>
    <row r="76" spans="2:2" x14ac:dyDescent="0.3">
      <c r="B76" s="828"/>
    </row>
    <row r="77" spans="2:2" x14ac:dyDescent="0.3">
      <c r="B77" s="828"/>
    </row>
    <row r="78" spans="2:2" x14ac:dyDescent="0.3">
      <c r="B78" s="828"/>
    </row>
    <row r="79" spans="2:2" x14ac:dyDescent="0.3">
      <c r="B79" s="828"/>
    </row>
    <row r="80" spans="2:2" x14ac:dyDescent="0.3">
      <c r="B80" s="828"/>
    </row>
    <row r="81" spans="2:2" x14ac:dyDescent="0.3">
      <c r="B81" s="828"/>
    </row>
    <row r="82" spans="2:2" x14ac:dyDescent="0.3">
      <c r="B82" s="828"/>
    </row>
    <row r="83" spans="2:2" x14ac:dyDescent="0.3">
      <c r="B83" s="828"/>
    </row>
    <row r="84" spans="2:2" x14ac:dyDescent="0.3">
      <c r="B84" s="828"/>
    </row>
    <row r="85" spans="2:2" x14ac:dyDescent="0.3">
      <c r="B85" s="828"/>
    </row>
    <row r="86" spans="2:2" x14ac:dyDescent="0.3">
      <c r="B86" s="828"/>
    </row>
    <row r="87" spans="2:2" x14ac:dyDescent="0.3">
      <c r="B87" s="828"/>
    </row>
    <row r="88" spans="2:2" x14ac:dyDescent="0.3">
      <c r="B88" s="828"/>
    </row>
    <row r="89" spans="2:2" x14ac:dyDescent="0.3">
      <c r="B89" s="828"/>
    </row>
    <row r="90" spans="2:2" x14ac:dyDescent="0.3">
      <c r="B90" s="828"/>
    </row>
    <row r="91" spans="2:2" x14ac:dyDescent="0.3">
      <c r="B91" s="828"/>
    </row>
    <row r="92" spans="2:2" x14ac:dyDescent="0.3">
      <c r="B92" s="828"/>
    </row>
    <row r="93" spans="2:2" x14ac:dyDescent="0.3">
      <c r="B93" s="828"/>
    </row>
    <row r="94" spans="2:2" x14ac:dyDescent="0.3">
      <c r="B94" s="828"/>
    </row>
    <row r="95" spans="2:2" x14ac:dyDescent="0.3">
      <c r="B95" s="828"/>
    </row>
    <row r="96" spans="2:2" x14ac:dyDescent="0.3">
      <c r="B96" s="828"/>
    </row>
    <row r="97" spans="2:2" x14ac:dyDescent="0.3">
      <c r="B97" s="828"/>
    </row>
    <row r="98" spans="2:2" x14ac:dyDescent="0.3">
      <c r="B98" s="828"/>
    </row>
    <row r="99" spans="2:2" x14ac:dyDescent="0.3">
      <c r="B99" s="828"/>
    </row>
    <row r="100" spans="2:2" x14ac:dyDescent="0.3">
      <c r="B100" s="828"/>
    </row>
    <row r="101" spans="2:2" x14ac:dyDescent="0.3">
      <c r="B101" s="828"/>
    </row>
    <row r="102" spans="2:2" x14ac:dyDescent="0.3">
      <c r="B102" s="828"/>
    </row>
    <row r="103" spans="2:2" x14ac:dyDescent="0.3">
      <c r="B103" s="828"/>
    </row>
    <row r="104" spans="2:2" x14ac:dyDescent="0.3">
      <c r="B104" s="828"/>
    </row>
    <row r="105" spans="2:2" x14ac:dyDescent="0.3">
      <c r="B105" s="828"/>
    </row>
    <row r="106" spans="2:2" x14ac:dyDescent="0.3">
      <c r="B106" s="828"/>
    </row>
    <row r="107" spans="2:2" x14ac:dyDescent="0.3">
      <c r="B107" s="828"/>
    </row>
    <row r="108" spans="2:2" x14ac:dyDescent="0.3">
      <c r="B108" s="828"/>
    </row>
    <row r="109" spans="2:2" x14ac:dyDescent="0.3">
      <c r="B109" s="828"/>
    </row>
    <row r="110" spans="2:2" x14ac:dyDescent="0.3">
      <c r="B110" s="828"/>
    </row>
    <row r="111" spans="2:2" x14ac:dyDescent="0.3">
      <c r="B111" s="828"/>
    </row>
    <row r="112" spans="2:2" x14ac:dyDescent="0.3">
      <c r="B112" s="828"/>
    </row>
    <row r="113" spans="2:2" x14ac:dyDescent="0.3">
      <c r="B113" s="828"/>
    </row>
    <row r="114" spans="2:2" x14ac:dyDescent="0.3">
      <c r="B114" s="828"/>
    </row>
    <row r="115" spans="2:2" x14ac:dyDescent="0.3">
      <c r="B115" s="828"/>
    </row>
    <row r="116" spans="2:2" x14ac:dyDescent="0.3">
      <c r="B116" s="828"/>
    </row>
    <row r="117" spans="2:2" x14ac:dyDescent="0.3">
      <c r="B117" s="828"/>
    </row>
    <row r="118" spans="2:2" x14ac:dyDescent="0.3">
      <c r="B118" s="828"/>
    </row>
    <row r="119" spans="2:2" x14ac:dyDescent="0.3">
      <c r="B119" s="828"/>
    </row>
    <row r="120" spans="2:2" x14ac:dyDescent="0.3">
      <c r="B120" s="828"/>
    </row>
    <row r="121" spans="2:2" x14ac:dyDescent="0.3">
      <c r="B121" s="828"/>
    </row>
    <row r="122" spans="2:2" x14ac:dyDescent="0.3">
      <c r="B122" s="828"/>
    </row>
    <row r="123" spans="2:2" x14ac:dyDescent="0.3">
      <c r="B123" s="828"/>
    </row>
    <row r="124" spans="2:2" x14ac:dyDescent="0.3">
      <c r="B124" s="828"/>
    </row>
    <row r="125" spans="2:2" x14ac:dyDescent="0.3">
      <c r="B125" s="828"/>
    </row>
    <row r="126" spans="2:2" x14ac:dyDescent="0.3">
      <c r="B126" s="828"/>
    </row>
    <row r="127" spans="2:2" x14ac:dyDescent="0.3">
      <c r="B127" s="828"/>
    </row>
    <row r="128" spans="2:2" x14ac:dyDescent="0.3">
      <c r="B128" s="828"/>
    </row>
    <row r="129" spans="2:2" x14ac:dyDescent="0.3">
      <c r="B129" s="828"/>
    </row>
    <row r="130" spans="2:2" x14ac:dyDescent="0.3">
      <c r="B130" s="828"/>
    </row>
    <row r="131" spans="2:2" x14ac:dyDescent="0.3">
      <c r="B131" s="828"/>
    </row>
    <row r="132" spans="2:2" x14ac:dyDescent="0.3">
      <c r="B132" s="828"/>
    </row>
    <row r="133" spans="2:2" x14ac:dyDescent="0.3">
      <c r="B133" s="828"/>
    </row>
    <row r="134" spans="2:2" x14ac:dyDescent="0.3">
      <c r="B134" s="828"/>
    </row>
    <row r="135" spans="2:2" x14ac:dyDescent="0.3">
      <c r="B135" s="828"/>
    </row>
    <row r="136" spans="2:2" x14ac:dyDescent="0.3">
      <c r="B136" s="828"/>
    </row>
    <row r="137" spans="2:2" x14ac:dyDescent="0.3">
      <c r="B137" s="828"/>
    </row>
    <row r="138" spans="2:2" x14ac:dyDescent="0.3">
      <c r="B138" s="828"/>
    </row>
    <row r="139" spans="2:2" x14ac:dyDescent="0.3">
      <c r="B139" s="828"/>
    </row>
    <row r="140" spans="2:2" x14ac:dyDescent="0.3">
      <c r="B140" s="828"/>
    </row>
    <row r="141" spans="2:2" x14ac:dyDescent="0.3">
      <c r="B141" s="828"/>
    </row>
    <row r="142" spans="2:2" x14ac:dyDescent="0.3">
      <c r="B142" s="828"/>
    </row>
    <row r="143" spans="2:2" x14ac:dyDescent="0.3">
      <c r="B143" s="828"/>
    </row>
    <row r="144" spans="2:2" x14ac:dyDescent="0.3">
      <c r="B144" s="828"/>
    </row>
    <row r="145" spans="2:2" x14ac:dyDescent="0.3">
      <c r="B145" s="828"/>
    </row>
    <row r="146" spans="2:2" x14ac:dyDescent="0.3">
      <c r="B146" s="828"/>
    </row>
    <row r="147" spans="2:2" x14ac:dyDescent="0.3">
      <c r="B147" s="828"/>
    </row>
    <row r="148" spans="2:2" x14ac:dyDescent="0.3">
      <c r="B148" s="828"/>
    </row>
    <row r="149" spans="2:2" x14ac:dyDescent="0.3">
      <c r="B149" s="828"/>
    </row>
    <row r="150" spans="2:2" x14ac:dyDescent="0.3">
      <c r="B150" s="828"/>
    </row>
    <row r="151" spans="2:2" x14ac:dyDescent="0.3">
      <c r="B151" s="828"/>
    </row>
    <row r="152" spans="2:2" x14ac:dyDescent="0.3">
      <c r="B152" s="828"/>
    </row>
  </sheetData>
  <mergeCells count="7">
    <mergeCell ref="M19:N19"/>
    <mergeCell ref="M18:N18"/>
    <mergeCell ref="J13:K13"/>
    <mergeCell ref="M15:N15"/>
    <mergeCell ref="L22:N22"/>
    <mergeCell ref="M16:N16"/>
    <mergeCell ref="M17:N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>
              <from>
                <xdr:col>17</xdr:col>
                <xdr:colOff>83820</xdr:colOff>
                <xdr:row>3</xdr:row>
                <xdr:rowOff>129540</xdr:rowOff>
              </from>
              <to>
                <xdr:col>19</xdr:col>
                <xdr:colOff>304800</xdr:colOff>
                <xdr:row>8</xdr:row>
                <xdr:rowOff>152400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7">
            <anchor moveWithCells="1">
              <from>
                <xdr:col>10</xdr:col>
                <xdr:colOff>464820</xdr:colOff>
                <xdr:row>8</xdr:row>
                <xdr:rowOff>0</xdr:rowOff>
              </from>
              <to>
                <xdr:col>10</xdr:col>
                <xdr:colOff>708660</xdr:colOff>
                <xdr:row>9</xdr:row>
                <xdr:rowOff>38100</xdr:rowOff>
              </to>
            </anchor>
          </objectPr>
        </oleObject>
      </mc:Choice>
      <mc:Fallback>
        <oleObject progId="Equation.3" shapeId="7170" r:id="rId6"/>
      </mc:Fallback>
    </mc:AlternateContent>
    <mc:AlternateContent xmlns:mc="http://schemas.openxmlformats.org/markup-compatibility/2006">
      <mc:Choice Requires="x14">
        <oleObject progId="Equation.3" shapeId="7171" r:id="rId8">
          <objectPr defaultSize="0" autoPict="0" r:id="rId9">
            <anchor moveWithCells="1">
              <from>
                <xdr:col>15</xdr:col>
                <xdr:colOff>83820</xdr:colOff>
                <xdr:row>2</xdr:row>
                <xdr:rowOff>30480</xdr:rowOff>
              </from>
              <to>
                <xdr:col>15</xdr:col>
                <xdr:colOff>411480</xdr:colOff>
                <xdr:row>3</xdr:row>
                <xdr:rowOff>137160</xdr:rowOff>
              </to>
            </anchor>
          </objectPr>
        </oleObject>
      </mc:Choice>
      <mc:Fallback>
        <oleObject progId="Equation.3" shapeId="7171" r:id="rId8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AC96"/>
  <sheetViews>
    <sheetView workbookViewId="0">
      <selection activeCell="S9" sqref="S9"/>
    </sheetView>
  </sheetViews>
  <sheetFormatPr defaultColWidth="9" defaultRowHeight="15.6" x14ac:dyDescent="0.3"/>
  <cols>
    <col min="1" max="1" width="4.19921875" style="828" customWidth="1"/>
    <col min="2" max="2" width="2.59765625" style="824" customWidth="1"/>
    <col min="3" max="5" width="5.59765625" style="828" customWidth="1"/>
    <col min="6" max="7" width="9" style="828"/>
    <col min="8" max="8" width="6.19921875" style="828" customWidth="1"/>
    <col min="9" max="9" width="6.09765625" style="828" customWidth="1"/>
    <col min="10" max="10" width="5.59765625" style="828" hidden="1" customWidth="1"/>
    <col min="11" max="11" width="25.8984375" style="898" customWidth="1"/>
    <col min="12" max="12" width="9" style="828"/>
    <col min="13" max="13" width="5.69921875" style="828" customWidth="1"/>
    <col min="14" max="14" width="8.69921875" style="828" customWidth="1"/>
    <col min="15" max="15" width="11.09765625" style="828" customWidth="1"/>
    <col min="16" max="16" width="12.3984375" style="828" customWidth="1"/>
    <col min="17" max="17" width="2.69921875" style="828" customWidth="1"/>
    <col min="18" max="16384" width="9" style="828"/>
  </cols>
  <sheetData>
    <row r="1" spans="1:29" x14ac:dyDescent="0.3">
      <c r="B1" s="828"/>
      <c r="K1" s="1247"/>
    </row>
    <row r="2" spans="1:29" s="824" customFormat="1" ht="25.5" customHeight="1" x14ac:dyDescent="0.3">
      <c r="A2" s="828"/>
      <c r="C2" s="825" t="str">
        <f>Inicio!J6</f>
        <v>Estudante</v>
      </c>
      <c r="D2" s="825"/>
      <c r="E2" s="826"/>
      <c r="F2" s="825" t="s">
        <v>256</v>
      </c>
      <c r="G2" s="826"/>
      <c r="H2" s="826"/>
      <c r="I2" s="826"/>
      <c r="J2" s="826"/>
      <c r="K2" s="883"/>
      <c r="L2" s="826"/>
      <c r="M2" s="826"/>
      <c r="N2" s="826"/>
      <c r="O2" s="826" t="str">
        <f>CONCATENATE("6º Peso(massa) de 1 tijolo real(vazado)  x ",L14*1000,"=")</f>
        <v>6º Peso(massa) de 1 tijolo real(vazado)  x 11000=</v>
      </c>
      <c r="P2" s="826"/>
      <c r="Q2" s="826"/>
      <c r="R2" s="827"/>
      <c r="S2" s="827"/>
      <c r="T2" s="827"/>
      <c r="U2" s="828"/>
      <c r="V2" s="828"/>
      <c r="W2" s="828"/>
      <c r="X2" s="828"/>
      <c r="Y2" s="828"/>
      <c r="Z2" s="828"/>
      <c r="AA2" s="828"/>
      <c r="AB2" s="828"/>
      <c r="AC2" s="828"/>
    </row>
    <row r="3" spans="1:29" x14ac:dyDescent="0.3">
      <c r="Q3" s="826"/>
    </row>
    <row r="4" spans="1:29" x14ac:dyDescent="0.3">
      <c r="Q4" s="826"/>
      <c r="R4" s="1" t="s">
        <v>322</v>
      </c>
    </row>
    <row r="5" spans="1:29" x14ac:dyDescent="0.3">
      <c r="O5" s="882" t="s">
        <v>321</v>
      </c>
      <c r="P5" s="894">
        <f>ROUND(3^0.5,4)</f>
        <v>1.7321</v>
      </c>
      <c r="Q5" s="826"/>
    </row>
    <row r="6" spans="1:29" x14ac:dyDescent="0.3">
      <c r="O6" s="821" t="s">
        <v>3</v>
      </c>
      <c r="P6" s="829">
        <f>3^0.5</f>
        <v>1.7320508075688772</v>
      </c>
      <c r="Q6" s="826"/>
    </row>
    <row r="7" spans="1:29" x14ac:dyDescent="0.3">
      <c r="P7" s="829"/>
      <c r="Q7" s="826"/>
    </row>
    <row r="8" spans="1:29" x14ac:dyDescent="0.3">
      <c r="L8" s="828" t="s">
        <v>313</v>
      </c>
      <c r="N8" s="828" t="s">
        <v>312</v>
      </c>
      <c r="P8" s="829"/>
      <c r="Q8" s="826"/>
      <c r="R8" s="1"/>
    </row>
    <row r="9" spans="1:29" x14ac:dyDescent="0.3">
      <c r="I9" s="858"/>
      <c r="J9" s="858"/>
      <c r="K9" s="884"/>
      <c r="L9" s="899">
        <f>P6</f>
        <v>1.7320508075688772</v>
      </c>
      <c r="M9" s="871"/>
      <c r="N9" s="891">
        <f>P5</f>
        <v>1.7321</v>
      </c>
      <c r="O9" s="877" t="s">
        <v>265</v>
      </c>
      <c r="P9" s="820"/>
      <c r="Q9" s="826"/>
    </row>
    <row r="10" spans="1:29" x14ac:dyDescent="0.3">
      <c r="K10" s="898" t="s">
        <v>309</v>
      </c>
      <c r="L10" s="890">
        <f>3*L12</f>
        <v>26.099999999999998</v>
      </c>
      <c r="M10" s="828" t="s">
        <v>264</v>
      </c>
      <c r="N10" s="892">
        <f t="shared" ref="N10:N12" si="0">L10/100</f>
        <v>0.26099999999999995</v>
      </c>
      <c r="O10" s="832" t="s">
        <v>265</v>
      </c>
      <c r="P10"/>
      <c r="Q10" s="826"/>
    </row>
    <row r="11" spans="1:29" x14ac:dyDescent="0.3">
      <c r="I11" s="855"/>
      <c r="K11" s="898" t="s">
        <v>308</v>
      </c>
      <c r="L11" s="890">
        <f>2*L12</f>
        <v>17.399999999999999</v>
      </c>
      <c r="M11" s="828" t="s">
        <v>264</v>
      </c>
      <c r="N11" s="892">
        <f t="shared" si="0"/>
        <v>0.17399999999999999</v>
      </c>
      <c r="O11" s="832" t="s">
        <v>265</v>
      </c>
      <c r="P11" s="829"/>
      <c r="Q11" s="826"/>
    </row>
    <row r="12" spans="1:29" x14ac:dyDescent="0.3">
      <c r="K12" s="821" t="s">
        <v>456</v>
      </c>
      <c r="L12" s="890">
        <v>8.6999999999999993</v>
      </c>
      <c r="M12" s="828" t="s">
        <v>264</v>
      </c>
      <c r="N12" s="892">
        <f t="shared" si="0"/>
        <v>8.6999999999999994E-2</v>
      </c>
      <c r="O12" s="832" t="s">
        <v>265</v>
      </c>
      <c r="P12" s="911" t="s">
        <v>284</v>
      </c>
      <c r="Q12" s="826"/>
      <c r="S12" s="1" t="s">
        <v>284</v>
      </c>
    </row>
    <row r="13" spans="1:29" x14ac:dyDescent="0.3">
      <c r="J13" s="1522" t="s">
        <v>457</v>
      </c>
      <c r="K13" s="1523"/>
      <c r="L13" s="889">
        <v>1732</v>
      </c>
      <c r="M13" s="828" t="s">
        <v>270</v>
      </c>
      <c r="N13" s="892">
        <f>L13</f>
        <v>1732</v>
      </c>
      <c r="O13" s="832" t="str">
        <f>M13</f>
        <v>kg/m³</v>
      </c>
      <c r="P13" s="910"/>
      <c r="Q13" s="826"/>
    </row>
    <row r="14" spans="1:29" x14ac:dyDescent="0.3">
      <c r="J14" s="828" t="s">
        <v>304</v>
      </c>
      <c r="K14" s="821" t="s">
        <v>462</v>
      </c>
      <c r="L14" s="889">
        <v>11</v>
      </c>
      <c r="M14" s="1" t="s">
        <v>306</v>
      </c>
      <c r="N14" s="893">
        <f>L14</f>
        <v>11</v>
      </c>
      <c r="O14" s="1" t="s">
        <v>319</v>
      </c>
      <c r="P14" s="909" t="s">
        <v>324</v>
      </c>
      <c r="Q14" s="826"/>
    </row>
    <row r="15" spans="1:29" x14ac:dyDescent="0.3">
      <c r="C15" s="1121" t="s">
        <v>327</v>
      </c>
      <c r="D15" s="1121"/>
      <c r="E15" s="1121"/>
      <c r="F15" s="1121"/>
      <c r="G15" s="1121"/>
      <c r="H15" s="1122" t="str">
        <f>CONCATENATE(N10,"m x",N11,"m x",N12,"m     =  ")</f>
        <v xml:space="preserve">0,261m x0,174m x0,087m     =  </v>
      </c>
      <c r="I15" s="1122"/>
      <c r="J15" s="1122"/>
      <c r="K15" s="1123"/>
      <c r="L15" s="1124"/>
      <c r="M15" s="1528">
        <f>N10*N11*N12</f>
        <v>3.9510179999999989E-3</v>
      </c>
      <c r="N15" s="1528"/>
      <c r="O15" s="1121" t="s">
        <v>263</v>
      </c>
      <c r="P15" s="1" t="s">
        <v>324</v>
      </c>
      <c r="Q15" s="826"/>
    </row>
    <row r="16" spans="1:29" x14ac:dyDescent="0.3">
      <c r="C16" s="900" t="str">
        <f>CONCATENATE("2º  Volume  do espaço de 3 cilindros de 1 tijolo : 3x",N12," [1,7321x(",N11, ")² ]/64 =")</f>
        <v>2º  Volume  do espaço de 3 cilindros de 1 tijolo : 3x0,087 [1,7321x(0,174)² ]/64 =</v>
      </c>
      <c r="D16" s="900"/>
      <c r="E16" s="900"/>
      <c r="F16" s="900"/>
      <c r="G16" s="900"/>
      <c r="H16" s="900"/>
      <c r="I16" s="900"/>
      <c r="J16" s="900"/>
      <c r="K16" s="886"/>
      <c r="L16" s="900"/>
      <c r="M16" s="1526">
        <f>3*N12*P5*N11^2/64</f>
        <v>2.1386119618124996E-4</v>
      </c>
      <c r="N16" s="1526"/>
      <c r="O16" s="880" t="s">
        <v>263</v>
      </c>
      <c r="P16" s="872"/>
      <c r="Q16" s="826"/>
    </row>
    <row r="17" spans="2:19" ht="18" x14ac:dyDescent="0.35">
      <c r="C17" s="895" t="s">
        <v>325</v>
      </c>
      <c r="D17" s="895"/>
      <c r="E17" s="895"/>
      <c r="F17" s="895"/>
      <c r="G17" s="895"/>
      <c r="H17" s="895"/>
      <c r="I17" s="895"/>
      <c r="J17" s="895"/>
      <c r="K17" s="896"/>
      <c r="L17" s="901"/>
      <c r="M17" s="1527">
        <f>M15-M16</f>
        <v>3.7371568038187487E-3</v>
      </c>
      <c r="N17" s="1527"/>
      <c r="O17" s="895" t="s">
        <v>263</v>
      </c>
      <c r="P17" s="841"/>
      <c r="Q17" s="826"/>
      <c r="S17" s="1"/>
    </row>
    <row r="18" spans="2:19" x14ac:dyDescent="0.3">
      <c r="C18" s="1125" t="s">
        <v>326</v>
      </c>
      <c r="D18" s="1125"/>
      <c r="E18" s="1125"/>
      <c r="F18" s="1125"/>
      <c r="G18" s="1125"/>
      <c r="H18" s="1125"/>
      <c r="I18" s="1125"/>
      <c r="J18" s="1125"/>
      <c r="K18" s="1126">
        <f>M15</f>
        <v>3.9510179999999989E-3</v>
      </c>
      <c r="L18" s="1125" t="str">
        <f>CONCATENATE("x",N13,"=")</f>
        <v>x1732=</v>
      </c>
      <c r="M18" s="1529">
        <f>M17*L13</f>
        <v>6.4727555842140729</v>
      </c>
      <c r="N18" s="1529"/>
      <c r="O18" s="1125" t="s">
        <v>262</v>
      </c>
      <c r="P18" s="903"/>
      <c r="Q18" s="826"/>
      <c r="S18" s="1"/>
    </row>
    <row r="19" spans="2:19" x14ac:dyDescent="0.3">
      <c r="C19" s="1" t="s">
        <v>329</v>
      </c>
      <c r="E19" s="908">
        <f>L14</f>
        <v>11</v>
      </c>
      <c r="F19" s="1" t="s">
        <v>328</v>
      </c>
      <c r="L19" s="828">
        <f>L14*1000</f>
        <v>11000</v>
      </c>
      <c r="M19" s="1520">
        <f>L19*M15</f>
        <v>43.461197999999989</v>
      </c>
      <c r="N19" s="1520"/>
      <c r="O19" s="1" t="s">
        <v>416</v>
      </c>
      <c r="Q19" s="826"/>
    </row>
    <row r="20" spans="2:19" s="1132" customFormat="1" x14ac:dyDescent="0.3">
      <c r="B20" s="1127"/>
      <c r="C20" s="1128" t="str">
        <f>CONCATENATE("6º peso(massa) de ",L14*1000," tijolos vazados=",L14*1000,"x ", ROUND(M18,5),"=",ROUND(1000*L14*M18, 2),"kg =",ROUND(L14*M18, 2),"toneladas")</f>
        <v>6º peso(massa) de 11000 tijolos vazados=11000x 6,47276=71200,31kg =71,2toneladas</v>
      </c>
      <c r="D20" s="1129"/>
      <c r="E20" s="1129"/>
      <c r="F20" s="1129"/>
      <c r="G20" s="1129"/>
      <c r="H20" s="1129"/>
      <c r="I20" s="1129"/>
      <c r="J20" s="1129"/>
      <c r="K20" s="1130"/>
      <c r="L20" s="1129"/>
      <c r="M20" s="1131"/>
      <c r="N20" s="1129" t="s">
        <v>417</v>
      </c>
      <c r="O20" s="1134">
        <f>M18*L14*1000/1000</f>
        <v>71.200311426354801</v>
      </c>
      <c r="P20" s="1132" t="s">
        <v>418</v>
      </c>
      <c r="Q20" s="1133"/>
    </row>
    <row r="21" spans="2:19" x14ac:dyDescent="0.3">
      <c r="C21" s="824"/>
      <c r="D21" s="824"/>
      <c r="E21" s="824"/>
      <c r="F21" s="824"/>
      <c r="G21" s="824"/>
      <c r="H21" s="824"/>
      <c r="I21" s="824"/>
      <c r="J21" s="824"/>
      <c r="K21" s="888"/>
      <c r="L21" s="824"/>
      <c r="M21" s="824"/>
      <c r="N21" s="824"/>
      <c r="O21" s="824"/>
      <c r="P21" s="824"/>
      <c r="Q21" s="824"/>
    </row>
    <row r="22" spans="2:19" x14ac:dyDescent="0.3">
      <c r="B22" s="828"/>
      <c r="H22" s="838"/>
      <c r="I22" s="838"/>
      <c r="J22" s="838"/>
      <c r="L22" s="1525"/>
      <c r="M22" s="1525"/>
      <c r="N22" s="1525"/>
    </row>
    <row r="23" spans="2:19" x14ac:dyDescent="0.3">
      <c r="B23" s="828"/>
    </row>
    <row r="24" spans="2:19" x14ac:dyDescent="0.3">
      <c r="B24" s="828"/>
    </row>
    <row r="25" spans="2:19" x14ac:dyDescent="0.3">
      <c r="B25" s="828"/>
      <c r="N25"/>
    </row>
    <row r="26" spans="2:19" x14ac:dyDescent="0.3">
      <c r="B26" s="828"/>
    </row>
    <row r="27" spans="2:19" x14ac:dyDescent="0.3">
      <c r="B27" s="828"/>
    </row>
    <row r="28" spans="2:19" x14ac:dyDescent="0.3">
      <c r="B28" s="828"/>
    </row>
    <row r="29" spans="2:19" x14ac:dyDescent="0.3">
      <c r="B29" s="828"/>
      <c r="L29" s="1"/>
    </row>
    <row r="30" spans="2:19" x14ac:dyDescent="0.3">
      <c r="B30" s="828"/>
    </row>
    <row r="31" spans="2:19" x14ac:dyDescent="0.3">
      <c r="B31" s="828"/>
    </row>
    <row r="32" spans="2:19" x14ac:dyDescent="0.3">
      <c r="B32" s="828"/>
    </row>
    <row r="33" spans="2:2" x14ac:dyDescent="0.3">
      <c r="B33" s="828"/>
    </row>
    <row r="34" spans="2:2" x14ac:dyDescent="0.3">
      <c r="B34" s="828"/>
    </row>
    <row r="35" spans="2:2" x14ac:dyDescent="0.3">
      <c r="B35" s="828"/>
    </row>
    <row r="36" spans="2:2" x14ac:dyDescent="0.3">
      <c r="B36" s="828"/>
    </row>
    <row r="37" spans="2:2" x14ac:dyDescent="0.3">
      <c r="B37" s="828"/>
    </row>
    <row r="38" spans="2:2" x14ac:dyDescent="0.3">
      <c r="B38" s="828"/>
    </row>
    <row r="39" spans="2:2" x14ac:dyDescent="0.3">
      <c r="B39" s="828"/>
    </row>
    <row r="40" spans="2:2" x14ac:dyDescent="0.3">
      <c r="B40" s="828"/>
    </row>
    <row r="41" spans="2:2" x14ac:dyDescent="0.3">
      <c r="B41" s="828"/>
    </row>
    <row r="42" spans="2:2" x14ac:dyDescent="0.3">
      <c r="B42" s="828"/>
    </row>
    <row r="43" spans="2:2" x14ac:dyDescent="0.3">
      <c r="B43" s="828"/>
    </row>
    <row r="44" spans="2:2" x14ac:dyDescent="0.3">
      <c r="B44" s="828"/>
    </row>
    <row r="45" spans="2:2" x14ac:dyDescent="0.3">
      <c r="B45" s="828"/>
    </row>
    <row r="46" spans="2:2" x14ac:dyDescent="0.3">
      <c r="B46" s="828"/>
    </row>
    <row r="47" spans="2:2" x14ac:dyDescent="0.3">
      <c r="B47" s="828"/>
    </row>
    <row r="48" spans="2:2" x14ac:dyDescent="0.3">
      <c r="B48" s="828"/>
    </row>
    <row r="49" spans="2:2" x14ac:dyDescent="0.3">
      <c r="B49" s="828"/>
    </row>
    <row r="50" spans="2:2" x14ac:dyDescent="0.3">
      <c r="B50" s="828"/>
    </row>
    <row r="51" spans="2:2" x14ac:dyDescent="0.3">
      <c r="B51" s="828"/>
    </row>
    <row r="52" spans="2:2" x14ac:dyDescent="0.3">
      <c r="B52" s="828"/>
    </row>
    <row r="53" spans="2:2" x14ac:dyDescent="0.3">
      <c r="B53" s="828"/>
    </row>
    <row r="54" spans="2:2" x14ac:dyDescent="0.3">
      <c r="B54" s="828"/>
    </row>
    <row r="55" spans="2:2" x14ac:dyDescent="0.3">
      <c r="B55" s="828"/>
    </row>
    <row r="56" spans="2:2" x14ac:dyDescent="0.3">
      <c r="B56" s="828"/>
    </row>
    <row r="57" spans="2:2" x14ac:dyDescent="0.3">
      <c r="B57" s="828"/>
    </row>
    <row r="58" spans="2:2" x14ac:dyDescent="0.3">
      <c r="B58" s="828"/>
    </row>
    <row r="59" spans="2:2" x14ac:dyDescent="0.3">
      <c r="B59" s="828"/>
    </row>
    <row r="60" spans="2:2" x14ac:dyDescent="0.3">
      <c r="B60" s="828"/>
    </row>
    <row r="61" spans="2:2" x14ac:dyDescent="0.3">
      <c r="B61" s="828"/>
    </row>
    <row r="62" spans="2:2" x14ac:dyDescent="0.3">
      <c r="B62" s="828"/>
    </row>
    <row r="63" spans="2:2" x14ac:dyDescent="0.3">
      <c r="B63" s="828"/>
    </row>
    <row r="64" spans="2:2" x14ac:dyDescent="0.3">
      <c r="B64" s="828"/>
    </row>
    <row r="65" spans="2:2" x14ac:dyDescent="0.3">
      <c r="B65" s="828"/>
    </row>
    <row r="66" spans="2:2" x14ac:dyDescent="0.3">
      <c r="B66" s="828"/>
    </row>
    <row r="67" spans="2:2" x14ac:dyDescent="0.3">
      <c r="B67" s="828"/>
    </row>
    <row r="68" spans="2:2" x14ac:dyDescent="0.3">
      <c r="B68" s="828"/>
    </row>
    <row r="69" spans="2:2" x14ac:dyDescent="0.3">
      <c r="B69" s="828"/>
    </row>
    <row r="70" spans="2:2" x14ac:dyDescent="0.3">
      <c r="B70" s="828"/>
    </row>
    <row r="71" spans="2:2" x14ac:dyDescent="0.3">
      <c r="B71" s="828"/>
    </row>
    <row r="72" spans="2:2" x14ac:dyDescent="0.3">
      <c r="B72" s="828"/>
    </row>
    <row r="73" spans="2:2" x14ac:dyDescent="0.3">
      <c r="B73" s="828"/>
    </row>
    <row r="74" spans="2:2" x14ac:dyDescent="0.3">
      <c r="B74" s="828"/>
    </row>
    <row r="75" spans="2:2" x14ac:dyDescent="0.3">
      <c r="B75" s="828"/>
    </row>
    <row r="76" spans="2:2" x14ac:dyDescent="0.3">
      <c r="B76" s="828"/>
    </row>
    <row r="77" spans="2:2" x14ac:dyDescent="0.3">
      <c r="B77" s="828"/>
    </row>
    <row r="78" spans="2:2" x14ac:dyDescent="0.3">
      <c r="B78" s="828"/>
    </row>
    <row r="79" spans="2:2" x14ac:dyDescent="0.3">
      <c r="B79" s="828"/>
    </row>
    <row r="80" spans="2:2" x14ac:dyDescent="0.3">
      <c r="B80" s="828"/>
    </row>
    <row r="81" spans="2:2" x14ac:dyDescent="0.3">
      <c r="B81" s="828"/>
    </row>
    <row r="82" spans="2:2" x14ac:dyDescent="0.3">
      <c r="B82" s="828"/>
    </row>
    <row r="83" spans="2:2" x14ac:dyDescent="0.3">
      <c r="B83" s="828"/>
    </row>
    <row r="84" spans="2:2" x14ac:dyDescent="0.3">
      <c r="B84" s="828"/>
    </row>
    <row r="85" spans="2:2" x14ac:dyDescent="0.3">
      <c r="B85" s="828"/>
    </row>
    <row r="86" spans="2:2" x14ac:dyDescent="0.3">
      <c r="B86" s="828"/>
    </row>
    <row r="87" spans="2:2" x14ac:dyDescent="0.3">
      <c r="B87" s="828"/>
    </row>
    <row r="88" spans="2:2" x14ac:dyDescent="0.3">
      <c r="B88" s="828"/>
    </row>
    <row r="89" spans="2:2" x14ac:dyDescent="0.3">
      <c r="B89" s="828"/>
    </row>
    <row r="90" spans="2:2" x14ac:dyDescent="0.3">
      <c r="B90" s="828"/>
    </row>
    <row r="91" spans="2:2" x14ac:dyDescent="0.3">
      <c r="B91" s="828"/>
    </row>
    <row r="92" spans="2:2" x14ac:dyDescent="0.3">
      <c r="B92" s="828"/>
    </row>
    <row r="93" spans="2:2" x14ac:dyDescent="0.3">
      <c r="B93" s="828"/>
    </row>
    <row r="94" spans="2:2" x14ac:dyDescent="0.3">
      <c r="B94" s="828"/>
    </row>
    <row r="95" spans="2:2" x14ac:dyDescent="0.3">
      <c r="B95" s="828"/>
    </row>
    <row r="96" spans="2:2" x14ac:dyDescent="0.3">
      <c r="B96" s="828"/>
    </row>
  </sheetData>
  <mergeCells count="7">
    <mergeCell ref="L22:N22"/>
    <mergeCell ref="J13:K13"/>
    <mergeCell ref="M15:N15"/>
    <mergeCell ref="M16:N16"/>
    <mergeCell ref="M17:N17"/>
    <mergeCell ref="M18:N18"/>
    <mergeCell ref="M19:N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8193" r:id="rId4">
          <objectPr defaultSize="0" autoPict="0" r:id="rId5">
            <anchor moveWithCells="1">
              <from>
                <xdr:col>14</xdr:col>
                <xdr:colOff>129540</xdr:colOff>
                <xdr:row>6</xdr:row>
                <xdr:rowOff>7620</xdr:rowOff>
              </from>
              <to>
                <xdr:col>15</xdr:col>
                <xdr:colOff>708660</xdr:colOff>
                <xdr:row>8</xdr:row>
                <xdr:rowOff>121920</xdr:rowOff>
              </to>
            </anchor>
          </objectPr>
        </oleObject>
      </mc:Choice>
      <mc:Fallback>
        <oleObject progId="Equation.3" shapeId="8193" r:id="rId4"/>
      </mc:Fallback>
    </mc:AlternateContent>
    <mc:AlternateContent xmlns:mc="http://schemas.openxmlformats.org/markup-compatibility/2006">
      <mc:Choice Requires="x14">
        <oleObject progId="Equation.3" shapeId="8194" r:id="rId6">
          <objectPr defaultSize="0" autoPict="0" r:id="rId7">
            <anchor moveWithCells="1">
              <from>
                <xdr:col>10</xdr:col>
                <xdr:colOff>464820</xdr:colOff>
                <xdr:row>8</xdr:row>
                <xdr:rowOff>0</xdr:rowOff>
              </from>
              <to>
                <xdr:col>10</xdr:col>
                <xdr:colOff>708660</xdr:colOff>
                <xdr:row>9</xdr:row>
                <xdr:rowOff>38100</xdr:rowOff>
              </to>
            </anchor>
          </objectPr>
        </oleObject>
      </mc:Choice>
      <mc:Fallback>
        <oleObject progId="Equation.3" shapeId="8194" r:id="rId6"/>
      </mc:Fallback>
    </mc:AlternateContent>
    <mc:AlternateContent xmlns:mc="http://schemas.openxmlformats.org/markup-compatibility/2006">
      <mc:Choice Requires="x14">
        <oleObject progId="Equation.3" shapeId="8195" r:id="rId8">
          <objectPr defaultSize="0" autoPict="0" r:id="rId9">
            <anchor moveWithCells="1">
              <from>
                <xdr:col>15</xdr:col>
                <xdr:colOff>83820</xdr:colOff>
                <xdr:row>2</xdr:row>
                <xdr:rowOff>99060</xdr:rowOff>
              </from>
              <to>
                <xdr:col>15</xdr:col>
                <xdr:colOff>327660</xdr:colOff>
                <xdr:row>3</xdr:row>
                <xdr:rowOff>137160</xdr:rowOff>
              </to>
            </anchor>
          </objectPr>
        </oleObject>
      </mc:Choice>
      <mc:Fallback>
        <oleObject progId="Equation.3" shapeId="8195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1:R88"/>
  <sheetViews>
    <sheetView workbookViewId="0">
      <selection activeCell="AT18" sqref="A17:AT18"/>
    </sheetView>
  </sheetViews>
  <sheetFormatPr defaultColWidth="9" defaultRowHeight="21" x14ac:dyDescent="0.4"/>
  <cols>
    <col min="1" max="1" width="3.59765625" style="1" customWidth="1"/>
    <col min="2" max="2" width="3.59765625" style="768" customWidth="1"/>
    <col min="3" max="3" width="9" style="1"/>
    <col min="4" max="4" width="3.5" style="1" customWidth="1"/>
    <col min="5" max="5" width="8.09765625" style="1" customWidth="1"/>
    <col min="6" max="6" width="11.5" style="1" customWidth="1"/>
    <col min="7" max="7" width="7.59765625" style="1" customWidth="1"/>
    <col min="8" max="8" width="6.8984375" style="1" customWidth="1"/>
    <col min="9" max="9" width="6.59765625" style="1" customWidth="1"/>
    <col min="10" max="10" width="5" style="1" customWidth="1"/>
    <col min="11" max="11" width="4" style="1" customWidth="1"/>
    <col min="12" max="12" width="13.19921875" style="1" customWidth="1"/>
    <col min="13" max="14" width="9" style="1"/>
    <col min="15" max="15" width="5.09765625" style="1" customWidth="1"/>
    <col min="16" max="16384" width="9" style="1"/>
  </cols>
  <sheetData>
    <row r="1" spans="2:18" ht="15.6" x14ac:dyDescent="0.3">
      <c r="B1" s="1"/>
    </row>
    <row r="2" spans="2:18" s="709" customFormat="1" ht="16.5" customHeight="1" x14ac:dyDescent="0.4">
      <c r="B2" s="768" t="str">
        <f>Inicio!J6</f>
        <v>Estudante</v>
      </c>
      <c r="C2" s="768"/>
      <c r="D2" s="768"/>
      <c r="E2" s="768" t="s">
        <v>256</v>
      </c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71"/>
      <c r="Q2" s="771"/>
      <c r="R2" s="771"/>
    </row>
    <row r="3" spans="2:18" ht="23.4" x14ac:dyDescent="0.45">
      <c r="C3" s="774" t="s">
        <v>271</v>
      </c>
      <c r="O3" s="768"/>
    </row>
    <row r="4" spans="2:18" ht="23.4" x14ac:dyDescent="0.45">
      <c r="C4" s="774" t="s">
        <v>272</v>
      </c>
      <c r="F4" s="1532">
        <v>3400</v>
      </c>
      <c r="G4" s="1532"/>
      <c r="H4" s="774" t="s">
        <v>276</v>
      </c>
      <c r="M4" s="777">
        <v>10</v>
      </c>
      <c r="O4" s="768"/>
    </row>
    <row r="5" spans="2:18" ht="23.4" x14ac:dyDescent="0.45">
      <c r="C5" s="774" t="s">
        <v>275</v>
      </c>
      <c r="O5" s="768"/>
    </row>
    <row r="6" spans="2:18" ht="23.4" x14ac:dyDescent="0.45">
      <c r="C6" s="775" t="s">
        <v>273</v>
      </c>
      <c r="D6" s="776"/>
      <c r="E6" s="776"/>
      <c r="F6" s="776"/>
      <c r="G6" s="776"/>
      <c r="H6" s="776"/>
      <c r="I6" s="776"/>
      <c r="J6" s="776"/>
      <c r="K6" s="776"/>
      <c r="L6" s="776"/>
      <c r="M6" s="776"/>
      <c r="O6" s="768"/>
    </row>
    <row r="7" spans="2:18" ht="23.4" x14ac:dyDescent="0.45">
      <c r="C7" s="1530" t="s">
        <v>274</v>
      </c>
      <c r="D7" s="1530"/>
      <c r="E7" s="1530"/>
      <c r="F7" s="779">
        <f>M4</f>
        <v>10</v>
      </c>
      <c r="G7" s="1530" t="s">
        <v>3</v>
      </c>
      <c r="H7" s="1531">
        <f>F7/F8</f>
        <v>2.9411764705882353E-3</v>
      </c>
      <c r="I7" s="1531"/>
      <c r="J7" s="1530" t="s">
        <v>3</v>
      </c>
      <c r="K7" s="1531" t="str">
        <f>CONCATENATE(ROUND(H7,5),"x 100%=",ROUND(H7*100,3),"%")</f>
        <v>0,00294x 100%=0,294%</v>
      </c>
      <c r="L7" s="1531"/>
      <c r="M7" s="1531"/>
      <c r="N7" s="1531"/>
      <c r="O7" s="768"/>
    </row>
    <row r="8" spans="2:18" ht="23.4" x14ac:dyDescent="0.45">
      <c r="C8" s="1530"/>
      <c r="D8" s="1530"/>
      <c r="E8" s="1530"/>
      <c r="F8" s="778">
        <f>F4</f>
        <v>3400</v>
      </c>
      <c r="G8" s="1530"/>
      <c r="H8" s="1531"/>
      <c r="I8" s="1531"/>
      <c r="J8" s="1530"/>
      <c r="K8" s="1531"/>
      <c r="L8" s="1531"/>
      <c r="M8" s="1531"/>
      <c r="N8" s="1531"/>
      <c r="O8" s="768"/>
    </row>
    <row r="9" spans="2:18" x14ac:dyDescent="0.4"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</row>
    <row r="10" spans="2:18" x14ac:dyDescent="0.4">
      <c r="B10" s="1360"/>
    </row>
    <row r="11" spans="2:18" x14ac:dyDescent="0.4">
      <c r="B11" s="1360"/>
    </row>
    <row r="12" spans="2:18" x14ac:dyDescent="0.4">
      <c r="B12" s="1360"/>
    </row>
    <row r="13" spans="2:18" x14ac:dyDescent="0.4">
      <c r="B13" s="1360"/>
    </row>
    <row r="14" spans="2:18" x14ac:dyDescent="0.4">
      <c r="B14" s="1360"/>
    </row>
    <row r="15" spans="2:18" x14ac:dyDescent="0.4">
      <c r="B15" s="1360"/>
    </row>
    <row r="16" spans="2:18" x14ac:dyDescent="0.4">
      <c r="B16" s="1360"/>
    </row>
    <row r="17" spans="2:2" x14ac:dyDescent="0.4">
      <c r="B17" s="1360"/>
    </row>
    <row r="18" spans="2:2" x14ac:dyDescent="0.4">
      <c r="B18" s="1360"/>
    </row>
    <row r="19" spans="2:2" x14ac:dyDescent="0.4">
      <c r="B19" s="1360"/>
    </row>
    <row r="20" spans="2:2" x14ac:dyDescent="0.4">
      <c r="B20" s="1360"/>
    </row>
    <row r="21" spans="2:2" x14ac:dyDescent="0.4">
      <c r="B21" s="1360"/>
    </row>
    <row r="22" spans="2:2" x14ac:dyDescent="0.4">
      <c r="B22" s="1360"/>
    </row>
    <row r="23" spans="2:2" x14ac:dyDescent="0.4">
      <c r="B23" s="1360"/>
    </row>
    <row r="24" spans="2:2" x14ac:dyDescent="0.4">
      <c r="B24" s="1360"/>
    </row>
    <row r="25" spans="2:2" x14ac:dyDescent="0.4">
      <c r="B25" s="1360"/>
    </row>
    <row r="26" spans="2:2" x14ac:dyDescent="0.4">
      <c r="B26" s="1360"/>
    </row>
    <row r="27" spans="2:2" x14ac:dyDescent="0.4">
      <c r="B27" s="1360"/>
    </row>
    <row r="28" spans="2:2" x14ac:dyDescent="0.4">
      <c r="B28" s="1360"/>
    </row>
    <row r="29" spans="2:2" x14ac:dyDescent="0.4">
      <c r="B29" s="1360"/>
    </row>
    <row r="30" spans="2:2" x14ac:dyDescent="0.4">
      <c r="B30" s="1360"/>
    </row>
    <row r="31" spans="2:2" x14ac:dyDescent="0.4">
      <c r="B31" s="1360"/>
    </row>
    <row r="32" spans="2:2" x14ac:dyDescent="0.4">
      <c r="B32" s="1360"/>
    </row>
    <row r="33" spans="2:2" x14ac:dyDescent="0.4">
      <c r="B33" s="1360"/>
    </row>
    <row r="34" spans="2:2" x14ac:dyDescent="0.4">
      <c r="B34" s="1360"/>
    </row>
    <row r="35" spans="2:2" x14ac:dyDescent="0.4">
      <c r="B35" s="1360"/>
    </row>
    <row r="36" spans="2:2" x14ac:dyDescent="0.4">
      <c r="B36" s="1360"/>
    </row>
    <row r="37" spans="2:2" x14ac:dyDescent="0.4">
      <c r="B37" s="1360"/>
    </row>
    <row r="38" spans="2:2" x14ac:dyDescent="0.4">
      <c r="B38" s="1360"/>
    </row>
    <row r="39" spans="2:2" x14ac:dyDescent="0.4">
      <c r="B39" s="1360"/>
    </row>
    <row r="40" spans="2:2" x14ac:dyDescent="0.4">
      <c r="B40" s="1360"/>
    </row>
    <row r="41" spans="2:2" x14ac:dyDescent="0.4">
      <c r="B41" s="1360"/>
    </row>
    <row r="42" spans="2:2" x14ac:dyDescent="0.4">
      <c r="B42" s="1360"/>
    </row>
    <row r="43" spans="2:2" x14ac:dyDescent="0.4">
      <c r="B43" s="1360"/>
    </row>
    <row r="44" spans="2:2" x14ac:dyDescent="0.4">
      <c r="B44" s="1360"/>
    </row>
    <row r="45" spans="2:2" x14ac:dyDescent="0.4">
      <c r="B45" s="1360"/>
    </row>
    <row r="46" spans="2:2" x14ac:dyDescent="0.4">
      <c r="B46" s="1360"/>
    </row>
    <row r="47" spans="2:2" x14ac:dyDescent="0.4">
      <c r="B47" s="1360"/>
    </row>
    <row r="48" spans="2:2" x14ac:dyDescent="0.4">
      <c r="B48" s="1360"/>
    </row>
    <row r="49" spans="2:2" x14ac:dyDescent="0.4">
      <c r="B49" s="1360"/>
    </row>
    <row r="50" spans="2:2" x14ac:dyDescent="0.4">
      <c r="B50" s="1360"/>
    </row>
    <row r="51" spans="2:2" x14ac:dyDescent="0.4">
      <c r="B51" s="1360"/>
    </row>
    <row r="52" spans="2:2" x14ac:dyDescent="0.4">
      <c r="B52" s="1360"/>
    </row>
    <row r="53" spans="2:2" x14ac:dyDescent="0.4">
      <c r="B53" s="1360"/>
    </row>
    <row r="54" spans="2:2" x14ac:dyDescent="0.4">
      <c r="B54" s="1360"/>
    </row>
    <row r="55" spans="2:2" x14ac:dyDescent="0.4">
      <c r="B55" s="1360"/>
    </row>
    <row r="56" spans="2:2" x14ac:dyDescent="0.4">
      <c r="B56" s="1360"/>
    </row>
    <row r="57" spans="2:2" x14ac:dyDescent="0.4">
      <c r="B57" s="1360"/>
    </row>
    <row r="58" spans="2:2" x14ac:dyDescent="0.4">
      <c r="B58" s="1360"/>
    </row>
    <row r="59" spans="2:2" x14ac:dyDescent="0.4">
      <c r="B59" s="1360"/>
    </row>
    <row r="60" spans="2:2" x14ac:dyDescent="0.4">
      <c r="B60" s="1360"/>
    </row>
    <row r="61" spans="2:2" x14ac:dyDescent="0.4">
      <c r="B61" s="1360"/>
    </row>
    <row r="62" spans="2:2" x14ac:dyDescent="0.4">
      <c r="B62" s="1360"/>
    </row>
    <row r="63" spans="2:2" x14ac:dyDescent="0.4">
      <c r="B63" s="1360"/>
    </row>
    <row r="64" spans="2:2" x14ac:dyDescent="0.4">
      <c r="B64" s="1360"/>
    </row>
    <row r="65" spans="2:2" x14ac:dyDescent="0.4">
      <c r="B65" s="1360"/>
    </row>
    <row r="66" spans="2:2" x14ac:dyDescent="0.4">
      <c r="B66" s="1360"/>
    </row>
    <row r="67" spans="2:2" x14ac:dyDescent="0.4">
      <c r="B67" s="1360"/>
    </row>
    <row r="68" spans="2:2" x14ac:dyDescent="0.4">
      <c r="B68" s="1360"/>
    </row>
    <row r="69" spans="2:2" x14ac:dyDescent="0.4">
      <c r="B69" s="1360"/>
    </row>
    <row r="70" spans="2:2" x14ac:dyDescent="0.4">
      <c r="B70" s="1360"/>
    </row>
    <row r="71" spans="2:2" x14ac:dyDescent="0.4">
      <c r="B71" s="1360"/>
    </row>
    <row r="72" spans="2:2" x14ac:dyDescent="0.4">
      <c r="B72" s="1360"/>
    </row>
    <row r="73" spans="2:2" x14ac:dyDescent="0.4">
      <c r="B73" s="1360"/>
    </row>
    <row r="74" spans="2:2" x14ac:dyDescent="0.4">
      <c r="B74" s="1360"/>
    </row>
    <row r="75" spans="2:2" x14ac:dyDescent="0.4">
      <c r="B75" s="1360"/>
    </row>
    <row r="76" spans="2:2" x14ac:dyDescent="0.4">
      <c r="B76" s="1360"/>
    </row>
    <row r="77" spans="2:2" x14ac:dyDescent="0.4">
      <c r="B77" s="1360"/>
    </row>
    <row r="78" spans="2:2" x14ac:dyDescent="0.4">
      <c r="B78" s="1360"/>
    </row>
    <row r="79" spans="2:2" x14ac:dyDescent="0.4">
      <c r="B79" s="1360"/>
    </row>
    <row r="80" spans="2:2" x14ac:dyDescent="0.4">
      <c r="B80" s="1360"/>
    </row>
    <row r="81" spans="2:2" x14ac:dyDescent="0.4">
      <c r="B81" s="1360"/>
    </row>
    <row r="82" spans="2:2" x14ac:dyDescent="0.4">
      <c r="B82" s="1360"/>
    </row>
    <row r="83" spans="2:2" x14ac:dyDescent="0.4">
      <c r="B83" s="1360"/>
    </row>
    <row r="84" spans="2:2" x14ac:dyDescent="0.4">
      <c r="B84" s="1360"/>
    </row>
    <row r="85" spans="2:2" x14ac:dyDescent="0.4">
      <c r="B85" s="1360"/>
    </row>
    <row r="86" spans="2:2" x14ac:dyDescent="0.4">
      <c r="B86" s="1360"/>
    </row>
    <row r="87" spans="2:2" x14ac:dyDescent="0.4">
      <c r="B87" s="1360"/>
    </row>
    <row r="88" spans="2:2" x14ac:dyDescent="0.4">
      <c r="B88" s="1360"/>
    </row>
  </sheetData>
  <mergeCells count="6">
    <mergeCell ref="J7:J8"/>
    <mergeCell ref="K7:N8"/>
    <mergeCell ref="F4:G4"/>
    <mergeCell ref="C7:E8"/>
    <mergeCell ref="G7:G8"/>
    <mergeCell ref="H7:I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1:R58"/>
  <sheetViews>
    <sheetView workbookViewId="0">
      <selection activeCell="M5" sqref="M5"/>
    </sheetView>
  </sheetViews>
  <sheetFormatPr defaultColWidth="9" defaultRowHeight="21" x14ac:dyDescent="0.4"/>
  <cols>
    <col min="1" max="1" width="4.8984375" style="1" customWidth="1"/>
    <col min="2" max="2" width="3.59765625" style="768" customWidth="1"/>
    <col min="3" max="3" width="9" style="1"/>
    <col min="4" max="4" width="3.5" style="1" customWidth="1"/>
    <col min="5" max="5" width="8.09765625" style="1" customWidth="1"/>
    <col min="6" max="6" width="11.5" style="1" customWidth="1"/>
    <col min="7" max="7" width="7.59765625" style="1" customWidth="1"/>
    <col min="8" max="8" width="6.8984375" style="1" customWidth="1"/>
    <col min="9" max="9" width="6.59765625" style="1" customWidth="1"/>
    <col min="10" max="10" width="5" style="1" customWidth="1"/>
    <col min="11" max="11" width="4" style="1" customWidth="1"/>
    <col min="12" max="12" width="13.19921875" style="1" customWidth="1"/>
    <col min="13" max="14" width="9" style="1"/>
    <col min="15" max="15" width="3.8984375" style="1" customWidth="1"/>
    <col min="16" max="16384" width="9" style="1"/>
  </cols>
  <sheetData>
    <row r="1" spans="2:18" ht="15.6" x14ac:dyDescent="0.3">
      <c r="B1" s="1"/>
    </row>
    <row r="2" spans="2:18" s="709" customFormat="1" ht="16.5" customHeight="1" x14ac:dyDescent="0.4">
      <c r="B2" s="768" t="str">
        <f>Inicio!J6</f>
        <v>Estudante</v>
      </c>
      <c r="C2" s="768"/>
      <c r="D2" s="768"/>
      <c r="E2" s="768" t="s">
        <v>256</v>
      </c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71"/>
      <c r="Q2" s="771"/>
      <c r="R2" s="771"/>
    </row>
    <row r="3" spans="2:18" ht="23.4" x14ac:dyDescent="0.45">
      <c r="C3" s="774" t="s">
        <v>331</v>
      </c>
      <c r="O3" s="768"/>
    </row>
    <row r="4" spans="2:18" ht="23.4" x14ac:dyDescent="0.45">
      <c r="C4" s="774" t="s">
        <v>272</v>
      </c>
      <c r="F4" s="1532">
        <v>3400</v>
      </c>
      <c r="G4" s="1532"/>
      <c r="H4" s="774" t="s">
        <v>276</v>
      </c>
      <c r="M4" s="777">
        <v>10</v>
      </c>
      <c r="O4" s="768"/>
    </row>
    <row r="5" spans="2:18" ht="23.4" x14ac:dyDescent="0.45">
      <c r="C5" s="774" t="s">
        <v>367</v>
      </c>
      <c r="O5" s="768"/>
    </row>
    <row r="6" spans="2:18" ht="23.4" x14ac:dyDescent="0.45">
      <c r="C6" s="775" t="s">
        <v>368</v>
      </c>
      <c r="D6" s="776"/>
      <c r="E6" s="776"/>
      <c r="F6" s="776"/>
      <c r="G6" s="776"/>
      <c r="H6" s="776"/>
      <c r="I6" s="776"/>
      <c r="J6" s="776"/>
      <c r="K6" s="776"/>
      <c r="L6" s="776"/>
      <c r="M6" s="776"/>
      <c r="O6" s="768"/>
    </row>
    <row r="7" spans="2:18" ht="23.4" x14ac:dyDescent="0.45">
      <c r="C7" s="1530" t="s">
        <v>274</v>
      </c>
      <c r="D7" s="1530"/>
      <c r="E7" s="1530"/>
      <c r="F7" s="779">
        <f>F4-M4</f>
        <v>3390</v>
      </c>
      <c r="G7" s="1530" t="s">
        <v>3</v>
      </c>
      <c r="H7" s="1531">
        <f>F7/F8</f>
        <v>0.99705882352941178</v>
      </c>
      <c r="I7" s="1531"/>
      <c r="J7" s="1530" t="s">
        <v>3</v>
      </c>
      <c r="K7" s="1531" t="str">
        <f>CONCATENATE(ROUND(H7,4),"x 100%=",H7*100,"%")</f>
        <v>0,9971x 100%=99,7058823529412%</v>
      </c>
      <c r="L7" s="1531"/>
      <c r="M7" s="1531"/>
      <c r="N7" s="1531"/>
      <c r="O7" s="768"/>
    </row>
    <row r="8" spans="2:18" ht="23.4" x14ac:dyDescent="0.45">
      <c r="C8" s="1530"/>
      <c r="D8" s="1530"/>
      <c r="E8" s="1530"/>
      <c r="F8" s="856">
        <f>F4</f>
        <v>3400</v>
      </c>
      <c r="G8" s="1530"/>
      <c r="H8" s="1531"/>
      <c r="I8" s="1531"/>
      <c r="J8" s="1530"/>
      <c r="K8" s="1531"/>
      <c r="L8" s="1531"/>
      <c r="M8" s="1531"/>
      <c r="N8" s="1531"/>
      <c r="O8" s="768"/>
    </row>
    <row r="9" spans="2:18" x14ac:dyDescent="0.4"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  <c r="O9" s="768"/>
    </row>
    <row r="10" spans="2:18" ht="15.6" x14ac:dyDescent="0.3">
      <c r="B10" s="1"/>
    </row>
    <row r="11" spans="2:18" ht="15.6" x14ac:dyDescent="0.3">
      <c r="B11" s="1"/>
    </row>
    <row r="12" spans="2:18" ht="15.6" x14ac:dyDescent="0.3">
      <c r="B12" s="1"/>
    </row>
    <row r="13" spans="2:18" ht="15.6" x14ac:dyDescent="0.3">
      <c r="B13" s="1"/>
    </row>
    <row r="14" spans="2:18" ht="15.6" x14ac:dyDescent="0.3">
      <c r="B14" s="1"/>
    </row>
    <row r="15" spans="2:18" ht="15.6" x14ac:dyDescent="0.3">
      <c r="B15" s="1"/>
    </row>
    <row r="16" spans="2:18" ht="15.6" x14ac:dyDescent="0.3">
      <c r="B16" s="1"/>
    </row>
    <row r="17" spans="2:2" ht="15.6" x14ac:dyDescent="0.3">
      <c r="B17" s="1"/>
    </row>
    <row r="18" spans="2:2" ht="15.6" x14ac:dyDescent="0.3">
      <c r="B18" s="1"/>
    </row>
    <row r="19" spans="2:2" ht="15.6" x14ac:dyDescent="0.3">
      <c r="B19" s="1"/>
    </row>
    <row r="20" spans="2:2" ht="15.6" x14ac:dyDescent="0.3">
      <c r="B20" s="1"/>
    </row>
    <row r="21" spans="2:2" ht="15.6" x14ac:dyDescent="0.3">
      <c r="B21" s="1"/>
    </row>
    <row r="22" spans="2:2" ht="15.6" x14ac:dyDescent="0.3">
      <c r="B22" s="1"/>
    </row>
    <row r="23" spans="2:2" ht="15.6" x14ac:dyDescent="0.3">
      <c r="B23" s="1"/>
    </row>
    <row r="24" spans="2:2" ht="15.6" x14ac:dyDescent="0.3">
      <c r="B24" s="1"/>
    </row>
    <row r="25" spans="2:2" ht="15.6" x14ac:dyDescent="0.3">
      <c r="B25" s="1"/>
    </row>
    <row r="26" spans="2:2" ht="15.6" x14ac:dyDescent="0.3">
      <c r="B26" s="1"/>
    </row>
    <row r="27" spans="2:2" ht="15.6" x14ac:dyDescent="0.3">
      <c r="B27" s="1"/>
    </row>
    <row r="28" spans="2:2" ht="15.6" x14ac:dyDescent="0.3">
      <c r="B28" s="1"/>
    </row>
    <row r="29" spans="2:2" ht="15.6" x14ac:dyDescent="0.3">
      <c r="B29" s="1"/>
    </row>
    <row r="30" spans="2:2" ht="15.6" x14ac:dyDescent="0.3">
      <c r="B30" s="1"/>
    </row>
    <row r="31" spans="2:2" ht="15.6" x14ac:dyDescent="0.3">
      <c r="B31" s="1"/>
    </row>
    <row r="32" spans="2:2" ht="15.6" x14ac:dyDescent="0.3">
      <c r="B32" s="1"/>
    </row>
    <row r="33" spans="2:2" ht="15.6" x14ac:dyDescent="0.3">
      <c r="B33" s="1"/>
    </row>
    <row r="34" spans="2:2" ht="15.6" x14ac:dyDescent="0.3">
      <c r="B34" s="1"/>
    </row>
    <row r="35" spans="2:2" ht="15.6" x14ac:dyDescent="0.3">
      <c r="B35" s="1"/>
    </row>
    <row r="36" spans="2:2" ht="15.6" x14ac:dyDescent="0.3">
      <c r="B36" s="1"/>
    </row>
    <row r="37" spans="2:2" ht="15.6" x14ac:dyDescent="0.3">
      <c r="B37" s="1"/>
    </row>
    <row r="38" spans="2:2" ht="15.6" x14ac:dyDescent="0.3">
      <c r="B38" s="1"/>
    </row>
    <row r="39" spans="2:2" ht="15.6" x14ac:dyDescent="0.3">
      <c r="B39" s="1"/>
    </row>
    <row r="40" spans="2:2" ht="15.6" x14ac:dyDescent="0.3">
      <c r="B40" s="1"/>
    </row>
    <row r="41" spans="2:2" ht="15.6" x14ac:dyDescent="0.3">
      <c r="B41" s="1"/>
    </row>
    <row r="42" spans="2:2" ht="15.6" x14ac:dyDescent="0.3">
      <c r="B42" s="1"/>
    </row>
    <row r="43" spans="2:2" ht="15.6" x14ac:dyDescent="0.3">
      <c r="B43" s="1"/>
    </row>
    <row r="44" spans="2:2" ht="15.6" x14ac:dyDescent="0.3">
      <c r="B44" s="1"/>
    </row>
    <row r="45" spans="2:2" ht="15.6" x14ac:dyDescent="0.3">
      <c r="B45" s="1"/>
    </row>
    <row r="46" spans="2:2" ht="15.6" x14ac:dyDescent="0.3">
      <c r="B46" s="1"/>
    </row>
    <row r="47" spans="2:2" ht="15.6" x14ac:dyDescent="0.3">
      <c r="B47" s="1"/>
    </row>
    <row r="48" spans="2:2" ht="15.6" x14ac:dyDescent="0.3">
      <c r="B48" s="1"/>
    </row>
    <row r="49" spans="2:2" ht="15.6" x14ac:dyDescent="0.3">
      <c r="B49" s="1"/>
    </row>
    <row r="50" spans="2:2" ht="15.6" x14ac:dyDescent="0.3">
      <c r="B50" s="1"/>
    </row>
    <row r="51" spans="2:2" ht="15.6" x14ac:dyDescent="0.3">
      <c r="B51" s="1"/>
    </row>
    <row r="52" spans="2:2" ht="15.6" x14ac:dyDescent="0.3">
      <c r="B52" s="1"/>
    </row>
    <row r="53" spans="2:2" ht="15.6" x14ac:dyDescent="0.3">
      <c r="B53" s="1"/>
    </row>
    <row r="54" spans="2:2" ht="15.6" x14ac:dyDescent="0.3">
      <c r="B54" s="1"/>
    </row>
    <row r="55" spans="2:2" ht="15.6" x14ac:dyDescent="0.3">
      <c r="B55" s="1"/>
    </row>
    <row r="56" spans="2:2" ht="15.6" x14ac:dyDescent="0.3">
      <c r="B56" s="1"/>
    </row>
    <row r="57" spans="2:2" ht="15.6" x14ac:dyDescent="0.3">
      <c r="B57" s="1"/>
    </row>
    <row r="58" spans="2:2" ht="15.6" x14ac:dyDescent="0.3">
      <c r="B58" s="1"/>
    </row>
  </sheetData>
  <mergeCells count="6">
    <mergeCell ref="K7:N8"/>
    <mergeCell ref="F4:G4"/>
    <mergeCell ref="C7:E8"/>
    <mergeCell ref="G7:G8"/>
    <mergeCell ref="H7:I8"/>
    <mergeCell ref="J7:J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58</vt:i4>
      </vt:variant>
    </vt:vector>
  </HeadingPairs>
  <TitlesOfParts>
    <vt:vector size="58" baseType="lpstr">
      <vt:lpstr>Inicio</vt:lpstr>
      <vt:lpstr>densid1</vt:lpstr>
      <vt:lpstr>d2</vt:lpstr>
      <vt:lpstr>3</vt:lpstr>
      <vt:lpstr>4 </vt:lpstr>
      <vt:lpstr>5</vt:lpstr>
      <vt:lpstr>6</vt:lpstr>
      <vt:lpstr>proba1</vt:lpstr>
      <vt:lpstr>2</vt:lpstr>
      <vt:lpstr>%1</vt:lpstr>
      <vt:lpstr>%2</vt:lpstr>
      <vt:lpstr>%3</vt:lpstr>
      <vt:lpstr>%4</vt:lpstr>
      <vt:lpstr>%5</vt:lpstr>
      <vt:lpstr>%6</vt:lpstr>
      <vt:lpstr>%7</vt:lpstr>
      <vt:lpstr>%8</vt:lpstr>
      <vt:lpstr>%9</vt:lpstr>
      <vt:lpstr>%10</vt:lpstr>
      <vt:lpstr>RTrig1</vt:lpstr>
      <vt:lpstr>RT2</vt:lpstr>
      <vt:lpstr>RT3</vt:lpstr>
      <vt:lpstr>RT4</vt:lpstr>
      <vt:lpstr>RT5</vt:lpstr>
      <vt:lpstr>RT6</vt:lpstr>
      <vt:lpstr>RT7</vt:lpstr>
      <vt:lpstr>RT8</vt:lpstr>
      <vt:lpstr>RT9</vt:lpstr>
      <vt:lpstr>RT10</vt:lpstr>
      <vt:lpstr>tubo</vt:lpstr>
      <vt:lpstr>FIM-</vt:lpstr>
      <vt:lpstr>nootDes</vt:lpstr>
      <vt:lpstr>imagens</vt:lpstr>
      <vt:lpstr>Note_Au</vt:lpstr>
      <vt:lpstr>tijolo</vt:lpstr>
      <vt:lpstr>chur</vt:lpstr>
      <vt:lpstr>Exer1e2</vt:lpstr>
      <vt:lpstr>L.S.Custo</vt:lpstr>
      <vt:lpstr>L.S.Venda</vt:lpstr>
      <vt:lpstr>Exer3e4</vt:lpstr>
      <vt:lpstr>PrejSC.</vt:lpstr>
      <vt:lpstr>PrejSV</vt:lpstr>
      <vt:lpstr>Exer5e6</vt:lpstr>
      <vt:lpstr>RSo</vt:lpstr>
      <vt:lpstr>Exer7</vt:lpstr>
      <vt:lpstr>R3</vt:lpstr>
      <vt:lpstr>Exer8e9</vt:lpstr>
      <vt:lpstr>JS</vt:lpstr>
      <vt:lpstr>JC</vt:lpstr>
      <vt:lpstr>Final1</vt:lpstr>
      <vt:lpstr>Fim</vt:lpstr>
      <vt:lpstr>Plan1</vt:lpstr>
      <vt:lpstr>Plan2</vt:lpstr>
      <vt:lpstr>Plan3</vt:lpstr>
      <vt:lpstr>Plan4</vt:lpstr>
      <vt:lpstr>Plan7</vt:lpstr>
      <vt:lpstr>Plan8</vt:lpstr>
      <vt:lpstr>nucaExluir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Tânia</dc:creator>
  <cp:lastModifiedBy>Usuário</cp:lastModifiedBy>
  <cp:lastPrinted>2014-05-08T00:25:10Z</cp:lastPrinted>
  <dcterms:created xsi:type="dcterms:W3CDTF">2013-05-09T14:10:08Z</dcterms:created>
  <dcterms:modified xsi:type="dcterms:W3CDTF">2020-03-14T01:56:12Z</dcterms:modified>
</cp:coreProperties>
</file>